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03"/>
  <workbookPr filterPrivacy="1" defaultThemeVersion="124226"/>
  <xr:revisionPtr revIDLastSave="0" documentId="11_8C758B2CB19F9F368948B3C726C0FC010C224757" xr6:coauthVersionLast="47" xr6:coauthVersionMax="47" xr10:uidLastSave="{00000000-0000-0000-0000-000000000000}"/>
  <bookViews>
    <workbookView xWindow="0" yWindow="0" windowWidth="25200" windowHeight="11880" firstSheet="14" activeTab="14" xr2:uid="{00000000-000D-0000-FFFF-FFFF00000000}"/>
  </bookViews>
  <sheets>
    <sheet name="I.Wprowadzenie" sheetId="43" r:id="rId1"/>
    <sheet name="II.Bilans" sheetId="30" r:id="rId2"/>
    <sheet name="III.RZiS" sheetId="31" r:id="rId3"/>
    <sheet name="Informacja dodatkowa 1-2" sheetId="32" r:id="rId4"/>
    <sheet name="Informacja dodatkowa 3_1)a)" sheetId="34" r:id="rId5"/>
    <sheet name="Informacja dodatkowa 3_1)b)" sheetId="35" r:id="rId6"/>
    <sheet name="Informacja dodatkowa 3_2)a)b)" sheetId="3" r:id="rId7"/>
    <sheet name="Informacja dodatkowa 3_3)4)5)" sheetId="36" r:id="rId8"/>
    <sheet name="Informacja dodatkowa 3_6)7)8)" sheetId="37" r:id="rId9"/>
    <sheet name="Informacja dodatkowa 4_1)2)" sheetId="25" r:id="rId10"/>
    <sheet name="Informacja dodatkowa 4_3)4)" sheetId="26" r:id="rId11"/>
    <sheet name="Informacja dodatkowa 5_1)2)" sheetId="39" r:id="rId12"/>
    <sheet name="Informacja dodatkowa 6-7" sheetId="29" r:id="rId13"/>
    <sheet name="Informacja dodatkowa8_1)2)3)4)5" sheetId="42" r:id="rId14"/>
    <sheet name="Arkusz1" sheetId="44" r:id="rId15"/>
  </sheets>
  <definedNames>
    <definedName name="_xlnm.Print_Area" localSheetId="0">I.Wprowadzenie!$A$1:$G$83</definedName>
    <definedName name="_xlnm.Print_Area" localSheetId="1">II.Bilans!$A$2:$D$42</definedName>
    <definedName name="_xlnm.Print_Area" localSheetId="2">III.RZiS!$A$1:$D$35</definedName>
    <definedName name="_xlnm.Print_Area" localSheetId="3">'Informacja dodatkowa 1-2'!$A$1:$F$36</definedName>
    <definedName name="_xlnm.Print_Area" localSheetId="4">'Informacja dodatkowa 3_1)a)'!$A$1:$F$46</definedName>
    <definedName name="_xlnm.Print_Area" localSheetId="5">'Informacja dodatkowa 3_1)b)'!$A$1:$F$54</definedName>
    <definedName name="_xlnm.Print_Area" localSheetId="6">'Informacja dodatkowa 3_2)a)b)'!$A$1:$L$37</definedName>
    <definedName name="_xlnm.Print_Area" localSheetId="7">'Informacja dodatkowa 3_3)4)5)'!$A$1:$D$39</definedName>
    <definedName name="_xlnm.Print_Area" localSheetId="8">'Informacja dodatkowa 3_6)7)8)'!$A$1:$F$54</definedName>
    <definedName name="_xlnm.Print_Area" localSheetId="9">'Informacja dodatkowa 4_1)2)'!$A$1:$M$54</definedName>
    <definedName name="_xlnm.Print_Area" localSheetId="10">'Informacja dodatkowa 4_3)4)'!$A$1:$F$70</definedName>
    <definedName name="_xlnm.Print_Area" localSheetId="11">'Informacja dodatkowa 5_1)2)'!$A$1:$H$44</definedName>
    <definedName name="_xlnm.Print_Area" localSheetId="12">'Informacja dodatkowa 6-7'!$A$1:$D$32</definedName>
    <definedName name="_xlnm.Print_Area" localSheetId="13">'Informacja dodatkowa8_1)2)3)4)5'!$A$1:$E$39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18" i="37" l="1"/>
  <c r="D22" i="36"/>
  <c r="D17" i="30" l="1"/>
  <c r="D32" i="30"/>
  <c r="C9" i="29"/>
  <c r="D26" i="42" l="1"/>
  <c r="C25" i="30"/>
  <c r="C27" i="30"/>
  <c r="C28" i="30"/>
  <c r="D10" i="29" l="1"/>
  <c r="D9" i="29" s="1"/>
  <c r="D15" i="29" s="1"/>
  <c r="E38" i="26" l="1"/>
  <c r="E15" i="26"/>
  <c r="L27" i="25"/>
  <c r="D21" i="31" l="1"/>
  <c r="D22" i="31"/>
  <c r="D28" i="30"/>
  <c r="E44" i="39" l="1"/>
  <c r="E37" i="39"/>
  <c r="D27" i="36" l="1"/>
  <c r="L32" i="25" l="1"/>
  <c r="D23" i="31"/>
  <c r="L18" i="25"/>
  <c r="L21" i="25"/>
  <c r="L43" i="25"/>
  <c r="E37" i="26"/>
  <c r="E13" i="26"/>
  <c r="E11" i="26"/>
  <c r="E12" i="26"/>
  <c r="E14" i="26" l="1"/>
  <c r="D8" i="31" l="1"/>
  <c r="D9" i="31"/>
  <c r="E33" i="26" l="1"/>
  <c r="C43" i="35" l="1"/>
  <c r="C37" i="35"/>
  <c r="C36" i="35"/>
  <c r="F54" i="37" l="1"/>
  <c r="E50" i="37"/>
  <c r="F50" i="37"/>
  <c r="D50" i="37"/>
  <c r="D15" i="37" l="1"/>
  <c r="D21" i="37"/>
  <c r="D22" i="37"/>
  <c r="D19" i="37"/>
  <c r="D37" i="36"/>
  <c r="D35" i="36"/>
  <c r="D26" i="36"/>
  <c r="D25" i="36"/>
  <c r="D24" i="36"/>
  <c r="D23" i="36"/>
  <c r="C22" i="36"/>
  <c r="C26" i="36"/>
  <c r="C27" i="36"/>
  <c r="C18" i="35"/>
  <c r="C16" i="35"/>
  <c r="C14" i="35"/>
  <c r="D18" i="35"/>
  <c r="D16" i="35"/>
  <c r="C39" i="34"/>
  <c r="D20" i="34"/>
  <c r="D18" i="34"/>
  <c r="D16" i="34"/>
  <c r="C20" i="34"/>
  <c r="C18" i="34"/>
  <c r="C16" i="34"/>
  <c r="D27" i="30" l="1"/>
  <c r="D25" i="30"/>
  <c r="D18" i="30"/>
  <c r="D11" i="30"/>
  <c r="D10" i="30"/>
  <c r="D33" i="30"/>
  <c r="E43" i="39" l="1"/>
  <c r="E42" i="39"/>
  <c r="E41" i="39"/>
  <c r="E40" i="39"/>
  <c r="E39" i="39"/>
  <c r="E38" i="39"/>
  <c r="E36" i="39"/>
  <c r="E35" i="39"/>
  <c r="C44" i="39"/>
  <c r="C43" i="39"/>
  <c r="C42" i="39"/>
  <c r="C41" i="39"/>
  <c r="C40" i="39"/>
  <c r="C39" i="39"/>
  <c r="C38" i="39"/>
  <c r="C37" i="39"/>
  <c r="C36" i="39"/>
  <c r="C35" i="39"/>
  <c r="F23" i="39" l="1"/>
  <c r="F21" i="39"/>
  <c r="F17" i="39"/>
  <c r="F16" i="39"/>
  <c r="F14" i="39"/>
  <c r="F13" i="39"/>
  <c r="F18" i="39"/>
  <c r="E28" i="26"/>
  <c r="L44" i="25"/>
  <c r="L29" i="25"/>
  <c r="L28" i="25"/>
  <c r="L24" i="25"/>
  <c r="L25" i="25"/>
  <c r="L20" i="25"/>
  <c r="L19" i="25" s="1"/>
  <c r="L17" i="25"/>
  <c r="D26" i="31" l="1"/>
  <c r="D24" i="31"/>
  <c r="D19" i="31"/>
  <c r="D17" i="31"/>
  <c r="D16" i="31"/>
  <c r="D13" i="31"/>
  <c r="D12" i="31"/>
  <c r="C8" i="29" l="1"/>
  <c r="C15" i="37" l="1"/>
  <c r="C21" i="37"/>
  <c r="C37" i="36"/>
  <c r="C36" i="36"/>
  <c r="C35" i="36"/>
  <c r="E29" i="35" l="1"/>
  <c r="D30" i="35"/>
  <c r="D29" i="35"/>
  <c r="D28" i="35"/>
  <c r="D26" i="35"/>
  <c r="C30" i="35"/>
  <c r="C29" i="35"/>
  <c r="C28" i="35"/>
  <c r="C26" i="35"/>
  <c r="E17" i="35"/>
  <c r="D17" i="35"/>
  <c r="C17" i="35"/>
  <c r="C28" i="34"/>
  <c r="C32" i="30" l="1"/>
  <c r="C17" i="30"/>
  <c r="C18" i="30"/>
  <c r="C11" i="30"/>
  <c r="C10" i="30"/>
  <c r="C22" i="31" l="1"/>
  <c r="C38" i="26" l="1"/>
  <c r="C37" i="26"/>
  <c r="C33" i="26"/>
  <c r="C29" i="26"/>
  <c r="C28" i="26"/>
  <c r="C27" i="26"/>
  <c r="C15" i="26"/>
  <c r="C14" i="26"/>
  <c r="C13" i="26"/>
  <c r="C12" i="26"/>
  <c r="C11" i="26"/>
  <c r="J51" i="25"/>
  <c r="J49" i="25"/>
  <c r="J47" i="25"/>
  <c r="J43" i="25"/>
  <c r="J27" i="25"/>
  <c r="J24" i="25"/>
  <c r="J21" i="25"/>
  <c r="J17" i="25"/>
  <c r="C22" i="37"/>
  <c r="C18" i="37"/>
  <c r="D10" i="36"/>
  <c r="C10" i="36"/>
  <c r="C46" i="34"/>
  <c r="D32" i="34"/>
  <c r="D31" i="34"/>
  <c r="D30" i="34"/>
  <c r="D28" i="34"/>
  <c r="C32" i="34"/>
  <c r="C31" i="34"/>
  <c r="C30" i="34"/>
  <c r="C19" i="34"/>
  <c r="C26" i="31" l="1"/>
  <c r="C24" i="31"/>
  <c r="C23" i="31"/>
  <c r="C21" i="31"/>
  <c r="C19" i="31"/>
  <c r="C17" i="31"/>
  <c r="C16" i="31"/>
  <c r="C13" i="31"/>
  <c r="C12" i="31"/>
  <c r="C9" i="31"/>
  <c r="C8" i="31"/>
  <c r="C33" i="30"/>
  <c r="C29" i="30"/>
  <c r="D16" i="30"/>
  <c r="C16" i="30"/>
  <c r="C23" i="39"/>
  <c r="C21" i="39"/>
  <c r="C17" i="39"/>
  <c r="C18" i="39"/>
  <c r="C16" i="39"/>
  <c r="C14" i="39"/>
  <c r="C13" i="39"/>
  <c r="D22" i="29"/>
  <c r="D24" i="29" s="1"/>
  <c r="C10" i="42"/>
  <c r="B10" i="42"/>
  <c r="E9" i="26" l="1"/>
  <c r="F11" i="26" l="1"/>
  <c r="F9" i="26" l="1"/>
  <c r="F14" i="26"/>
  <c r="F12" i="26"/>
  <c r="F15" i="26"/>
  <c r="F13" i="26"/>
  <c r="E18" i="39"/>
  <c r="C20" i="36" l="1"/>
  <c r="C18" i="36" s="1"/>
  <c r="C7" i="31" l="1"/>
  <c r="D47" i="37" l="1"/>
  <c r="E47" i="37"/>
  <c r="F47" i="37"/>
  <c r="C47" i="37"/>
  <c r="C9" i="26" l="1"/>
  <c r="D12" i="26" l="1"/>
  <c r="D14" i="26"/>
  <c r="D9" i="26"/>
  <c r="D11" i="26"/>
  <c r="D13" i="26"/>
  <c r="D15" i="26"/>
  <c r="E33" i="39"/>
  <c r="C33" i="39"/>
  <c r="L15" i="25"/>
  <c r="J15" i="25"/>
  <c r="F36" i="32"/>
  <c r="E36" i="32"/>
  <c r="D36" i="32"/>
  <c r="C36" i="32"/>
  <c r="D20" i="36"/>
  <c r="D35" i="39" l="1"/>
  <c r="D37" i="39"/>
  <c r="D39" i="39"/>
  <c r="D41" i="39"/>
  <c r="D43" i="39"/>
  <c r="D33" i="39"/>
  <c r="D36" i="39"/>
  <c r="D38" i="39"/>
  <c r="D40" i="39"/>
  <c r="D42" i="39"/>
  <c r="D44" i="39"/>
  <c r="F44" i="39"/>
  <c r="F36" i="39"/>
  <c r="F38" i="39"/>
  <c r="F40" i="39"/>
  <c r="F42" i="39"/>
  <c r="F33" i="39"/>
  <c r="F35" i="39"/>
  <c r="F37" i="39"/>
  <c r="F39" i="39"/>
  <c r="F41" i="39"/>
  <c r="F43" i="39"/>
  <c r="E22" i="39"/>
  <c r="H22" i="39"/>
  <c r="F22" i="39"/>
  <c r="C22" i="39"/>
  <c r="C11" i="39" s="1"/>
  <c r="H18" i="39"/>
  <c r="L41" i="25"/>
  <c r="J41" i="25"/>
  <c r="L50" i="25"/>
  <c r="J50" i="25"/>
  <c r="L46" i="25"/>
  <c r="J46" i="25"/>
  <c r="J28" i="25"/>
  <c r="L23" i="25"/>
  <c r="L13" i="25" s="1"/>
  <c r="J23" i="25"/>
  <c r="E30" i="26"/>
  <c r="C30" i="26"/>
  <c r="D38" i="37"/>
  <c r="E38" i="37"/>
  <c r="F38" i="37"/>
  <c r="D31" i="37"/>
  <c r="E31" i="37"/>
  <c r="F31" i="37"/>
  <c r="C31" i="37"/>
  <c r="C38" i="37"/>
  <c r="F29" i="37" l="1"/>
  <c r="E11" i="39"/>
  <c r="D16" i="39"/>
  <c r="F11" i="39"/>
  <c r="G27" i="39" s="1"/>
  <c r="H11" i="39"/>
  <c r="L39" i="25"/>
  <c r="M46" i="25" s="1"/>
  <c r="J39" i="25"/>
  <c r="K50" i="25" s="1"/>
  <c r="C29" i="37"/>
  <c r="E29" i="37"/>
  <c r="D29" i="37"/>
  <c r="G11" i="39" l="1"/>
  <c r="D27" i="39"/>
  <c r="D24" i="39"/>
  <c r="D11" i="39"/>
  <c r="D23" i="39"/>
  <c r="D21" i="39"/>
  <c r="D25" i="39"/>
  <c r="K41" i="25"/>
  <c r="M41" i="25"/>
  <c r="M50" i="25"/>
  <c r="D22" i="39"/>
  <c r="D14" i="39"/>
  <c r="G24" i="39"/>
  <c r="G21" i="39"/>
  <c r="G23" i="39"/>
  <c r="D15" i="39"/>
  <c r="D17" i="39"/>
  <c r="D19" i="39"/>
  <c r="G25" i="39"/>
  <c r="G15" i="39"/>
  <c r="G26" i="39"/>
  <c r="G17" i="39"/>
  <c r="G13" i="39"/>
  <c r="G22" i="39"/>
  <c r="D18" i="39"/>
  <c r="G19" i="39"/>
  <c r="G20" i="39"/>
  <c r="G16" i="39"/>
  <c r="G18" i="39"/>
  <c r="G14" i="39"/>
  <c r="D13" i="39"/>
  <c r="D26" i="39"/>
  <c r="D20" i="39"/>
  <c r="K42" i="25"/>
  <c r="K48" i="25"/>
  <c r="K43" i="25"/>
  <c r="K49" i="25"/>
  <c r="K39" i="25"/>
  <c r="K46" i="25"/>
  <c r="K47" i="25"/>
  <c r="K53" i="25"/>
  <c r="K44" i="25"/>
  <c r="K45" i="25"/>
  <c r="K51" i="25"/>
  <c r="K52" i="25"/>
  <c r="M45" i="25"/>
  <c r="M51" i="25"/>
  <c r="M52" i="25"/>
  <c r="M49" i="25"/>
  <c r="M47" i="25"/>
  <c r="M53" i="25"/>
  <c r="M42" i="25"/>
  <c r="M48" i="25"/>
  <c r="M43" i="25"/>
  <c r="M39" i="25"/>
  <c r="M44" i="25"/>
  <c r="K30" i="3" l="1"/>
  <c r="K31" i="3"/>
  <c r="K32" i="3"/>
  <c r="K33" i="3"/>
  <c r="K34" i="3"/>
  <c r="K35" i="3"/>
  <c r="K36" i="3"/>
  <c r="K37" i="3"/>
  <c r="K29" i="3"/>
  <c r="J30" i="3"/>
  <c r="J31" i="3"/>
  <c r="J32" i="3"/>
  <c r="J33" i="3"/>
  <c r="J34" i="3"/>
  <c r="J35" i="3"/>
  <c r="J36" i="3"/>
  <c r="J37" i="3"/>
  <c r="J29" i="3"/>
  <c r="D27" i="3"/>
  <c r="E27" i="3"/>
  <c r="G27" i="3"/>
  <c r="H27" i="3"/>
  <c r="I27" i="3"/>
  <c r="C27" i="3"/>
  <c r="F30" i="3"/>
  <c r="L30" i="3" s="1"/>
  <c r="F31" i="3"/>
  <c r="L31" i="3" s="1"/>
  <c r="F32" i="3"/>
  <c r="L32" i="3" s="1"/>
  <c r="F33" i="3"/>
  <c r="L33" i="3" s="1"/>
  <c r="F34" i="3"/>
  <c r="L34" i="3" s="1"/>
  <c r="F35" i="3"/>
  <c r="F36" i="3"/>
  <c r="L36" i="3" s="1"/>
  <c r="F37" i="3"/>
  <c r="L37" i="3" s="1"/>
  <c r="F29" i="3"/>
  <c r="K14" i="3"/>
  <c r="K15" i="3"/>
  <c r="K16" i="3"/>
  <c r="K17" i="3"/>
  <c r="K18" i="3"/>
  <c r="K19" i="3"/>
  <c r="K20" i="3"/>
  <c r="K21" i="3"/>
  <c r="K13" i="3"/>
  <c r="J14" i="3"/>
  <c r="J15" i="3"/>
  <c r="J16" i="3"/>
  <c r="J17" i="3"/>
  <c r="J18" i="3"/>
  <c r="J19" i="3"/>
  <c r="J20" i="3"/>
  <c r="J21" i="3"/>
  <c r="J13" i="3"/>
  <c r="F14" i="3"/>
  <c r="L14" i="3" s="1"/>
  <c r="F15" i="3"/>
  <c r="L15" i="3" s="1"/>
  <c r="F16" i="3"/>
  <c r="F17" i="3"/>
  <c r="L17" i="3" s="1"/>
  <c r="F18" i="3"/>
  <c r="L18" i="3" s="1"/>
  <c r="F19" i="3"/>
  <c r="L19" i="3" s="1"/>
  <c r="F20" i="3"/>
  <c r="L20" i="3" s="1"/>
  <c r="F21" i="3"/>
  <c r="L21" i="3" s="1"/>
  <c r="F13" i="3"/>
  <c r="D11" i="3"/>
  <c r="E11" i="3"/>
  <c r="G11" i="3"/>
  <c r="H11" i="3"/>
  <c r="I11" i="3"/>
  <c r="C11" i="3"/>
  <c r="D41" i="35"/>
  <c r="E41" i="35"/>
  <c r="C41" i="35"/>
  <c r="D33" i="36"/>
  <c r="C33" i="36"/>
  <c r="D18" i="36"/>
  <c r="D13" i="37"/>
  <c r="C13" i="37"/>
  <c r="D9" i="37"/>
  <c r="C9" i="37"/>
  <c r="D8" i="36"/>
  <c r="C8" i="36"/>
  <c r="F44" i="35"/>
  <c r="F43" i="35"/>
  <c r="F37" i="35"/>
  <c r="F36" i="35"/>
  <c r="E34" i="35"/>
  <c r="D34" i="35"/>
  <c r="C34" i="35"/>
  <c r="F30" i="35"/>
  <c r="F29" i="35"/>
  <c r="F28" i="35"/>
  <c r="F27" i="35"/>
  <c r="F26" i="35"/>
  <c r="F25" i="35"/>
  <c r="F24" i="35"/>
  <c r="E22" i="35"/>
  <c r="D22" i="35"/>
  <c r="C22" i="35"/>
  <c r="F18" i="35"/>
  <c r="F17" i="35"/>
  <c r="F16" i="35"/>
  <c r="F15" i="35"/>
  <c r="F14" i="35"/>
  <c r="F13" i="35"/>
  <c r="F12" i="35"/>
  <c r="E10" i="35"/>
  <c r="D10" i="35"/>
  <c r="C10" i="35"/>
  <c r="L16" i="3" l="1"/>
  <c r="L35" i="3"/>
  <c r="L29" i="3"/>
  <c r="F41" i="35"/>
  <c r="F34" i="35"/>
  <c r="K27" i="3"/>
  <c r="L27" i="3"/>
  <c r="F27" i="3"/>
  <c r="F22" i="35"/>
  <c r="J27" i="3"/>
  <c r="L13" i="3"/>
  <c r="L11" i="3" s="1"/>
  <c r="F11" i="3"/>
  <c r="K11" i="3"/>
  <c r="J11" i="3"/>
  <c r="F10" i="35"/>
  <c r="D8" i="37"/>
  <c r="C8" i="37"/>
  <c r="F46" i="34" l="1"/>
  <c r="F45" i="34"/>
  <c r="E43" i="34"/>
  <c r="D43" i="34"/>
  <c r="C43" i="34"/>
  <c r="F39" i="34"/>
  <c r="F38" i="34"/>
  <c r="E36" i="34"/>
  <c r="D36" i="34"/>
  <c r="C36" i="34"/>
  <c r="F32" i="34"/>
  <c r="F31" i="34"/>
  <c r="F30" i="34"/>
  <c r="F29" i="34"/>
  <c r="F28" i="34"/>
  <c r="F27" i="34"/>
  <c r="F26" i="34"/>
  <c r="E24" i="34"/>
  <c r="D24" i="34"/>
  <c r="C24" i="34"/>
  <c r="F15" i="34"/>
  <c r="F16" i="34"/>
  <c r="F17" i="34"/>
  <c r="F18" i="34"/>
  <c r="F19" i="34"/>
  <c r="F20" i="34"/>
  <c r="F14" i="34"/>
  <c r="D12" i="34"/>
  <c r="E12" i="34"/>
  <c r="C12" i="34"/>
  <c r="F43" i="34" l="1"/>
  <c r="F24" i="34"/>
  <c r="F36" i="34"/>
  <c r="F12" i="34"/>
  <c r="D15" i="32"/>
  <c r="D18" i="32" s="1"/>
  <c r="E15" i="32"/>
  <c r="E18" i="32" s="1"/>
  <c r="F15" i="32"/>
  <c r="F18" i="32" s="1"/>
  <c r="C15" i="32"/>
  <c r="C18" i="32" s="1"/>
  <c r="D29" i="30" l="1"/>
  <c r="D24" i="30"/>
  <c r="D15" i="30"/>
  <c r="D9" i="30"/>
  <c r="D18" i="31"/>
  <c r="D11" i="31"/>
  <c r="D7" i="31"/>
  <c r="C11" i="31"/>
  <c r="D15" i="31" l="1"/>
  <c r="D20" i="31" s="1"/>
  <c r="D25" i="31" s="1"/>
  <c r="D27" i="31" s="1"/>
  <c r="D34" i="30"/>
  <c r="D21" i="30"/>
  <c r="C24" i="30"/>
  <c r="C15" i="30"/>
  <c r="C9" i="30"/>
  <c r="C34" i="30" l="1"/>
  <c r="C18" i="31"/>
  <c r="C15" i="31"/>
  <c r="C21" i="30"/>
  <c r="C12" i="29"/>
  <c r="C15" i="29" l="1"/>
  <c r="C20" i="31"/>
  <c r="C25" i="31" s="1"/>
  <c r="C27" i="31" s="1"/>
  <c r="E25" i="26" l="1"/>
  <c r="E22" i="26" s="1"/>
  <c r="F38" i="26" s="1"/>
  <c r="C25" i="26"/>
  <c r="C22" i="26" s="1"/>
  <c r="D38" i="26" s="1"/>
  <c r="D25" i="26" l="1"/>
  <c r="F25" i="26"/>
  <c r="J19" i="25"/>
  <c r="J13" i="25" s="1"/>
  <c r="K16" i="25" s="1"/>
  <c r="M16" i="25"/>
  <c r="M15" i="25" l="1"/>
  <c r="F29" i="26"/>
  <c r="F35" i="26"/>
  <c r="F24" i="26"/>
  <c r="F36" i="26"/>
  <c r="F31" i="26"/>
  <c r="F37" i="26"/>
  <c r="F26" i="26"/>
  <c r="F32" i="26"/>
  <c r="F22" i="26"/>
  <c r="F27" i="26"/>
  <c r="F33" i="26"/>
  <c r="F28" i="26"/>
  <c r="F34" i="26"/>
  <c r="F30" i="26"/>
  <c r="D26" i="26"/>
  <c r="D32" i="26"/>
  <c r="D22" i="26"/>
  <c r="D27" i="26"/>
  <c r="D33" i="26"/>
  <c r="D28" i="26"/>
  <c r="D34" i="26"/>
  <c r="D29" i="26"/>
  <c r="D35" i="26"/>
  <c r="D24" i="26"/>
  <c r="D30" i="26"/>
  <c r="D36" i="26"/>
  <c r="D31" i="26"/>
  <c r="D37" i="26"/>
  <c r="K21" i="25" l="1"/>
  <c r="K27" i="25"/>
  <c r="K22" i="25"/>
  <c r="K28" i="25"/>
  <c r="K25" i="25"/>
  <c r="K26" i="25"/>
  <c r="K17" i="25"/>
  <c r="K29" i="25"/>
  <c r="K18" i="25"/>
  <c r="K24" i="25"/>
  <c r="K30" i="25"/>
  <c r="K31" i="25"/>
  <c r="K20" i="25"/>
  <c r="K32" i="25"/>
  <c r="K23" i="25"/>
  <c r="K15" i="25"/>
  <c r="M21" i="25"/>
  <c r="M27" i="25"/>
  <c r="M22" i="25"/>
  <c r="M25" i="25"/>
  <c r="M20" i="25"/>
  <c r="M32" i="25"/>
  <c r="M17" i="25"/>
  <c r="M29" i="25"/>
  <c r="M18" i="25"/>
  <c r="M24" i="25"/>
  <c r="M30" i="25"/>
  <c r="M31" i="25"/>
  <c r="M26" i="25"/>
  <c r="M23" i="25"/>
  <c r="M28" i="25"/>
  <c r="K19" i="25"/>
  <c r="M19" i="25"/>
  <c r="K13" i="25"/>
  <c r="M13"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C8" authorId="0" shapeId="0" xr:uid="{00000000-0006-0000-0200-000001000000}">
      <text>
        <r>
          <rPr>
            <b/>
            <sz val="9"/>
            <color indexed="81"/>
            <rFont val="Tahoma"/>
            <family val="2"/>
            <charset val="238"/>
          </rPr>
          <t>Autor:</t>
        </r>
        <r>
          <rPr>
            <sz val="9"/>
            <color indexed="81"/>
            <rFont val="Tahoma"/>
            <family val="2"/>
            <charset val="238"/>
          </rPr>
          <t xml:space="preserve">
składki + p.nieodpłatne
</t>
        </r>
      </text>
    </comment>
  </commentList>
</comments>
</file>

<file path=xl/sharedStrings.xml><?xml version="1.0" encoding="utf-8"?>
<sst xmlns="http://schemas.openxmlformats.org/spreadsheetml/2006/main" count="682" uniqueCount="412">
  <si>
    <t xml:space="preserve">Związek Harcerstwa Polskiego </t>
  </si>
  <si>
    <t>Załącznik Nr 4</t>
  </si>
  <si>
    <t>do Uchwały Głównej Kwatery ZHP</t>
  </si>
  <si>
    <t xml:space="preserve">nr 104/2019 z dnia 20 grudnia 2019 r. </t>
  </si>
  <si>
    <t>I. Wprowadzenie do sprawozdania finansowego</t>
  </si>
  <si>
    <t>Nazwa, siedziba i adres</t>
  </si>
  <si>
    <t>Nazwa jednostki ZHP</t>
  </si>
  <si>
    <t>Chorągiew Łódzka</t>
  </si>
  <si>
    <t>Siedziba</t>
  </si>
  <si>
    <t>Województwo</t>
  </si>
  <si>
    <t>łódzkie</t>
  </si>
  <si>
    <t>Powiat</t>
  </si>
  <si>
    <t>Łódź</t>
  </si>
  <si>
    <t>Gmina</t>
  </si>
  <si>
    <t xml:space="preserve">Miejscowość </t>
  </si>
  <si>
    <t>Adres</t>
  </si>
  <si>
    <t>Kraj</t>
  </si>
  <si>
    <t>Polska</t>
  </si>
  <si>
    <t>Łódzkie</t>
  </si>
  <si>
    <t>Ulica</t>
  </si>
  <si>
    <t>Stefanowskiego</t>
  </si>
  <si>
    <t>Nr domu</t>
  </si>
  <si>
    <t>Nr lokalu</t>
  </si>
  <si>
    <t>Kod pocztowy</t>
  </si>
  <si>
    <t>90-537</t>
  </si>
  <si>
    <t>Poczta</t>
  </si>
  <si>
    <t>Numer we właściwym rejestrze sądowym</t>
  </si>
  <si>
    <t>Wskazanie czasu trwania działalności jednostki, jeżeli jest ograniczony</t>
  </si>
  <si>
    <t xml:space="preserve">Wskazanie okresu objętego sprawozdaniem finansowym; </t>
  </si>
  <si>
    <t>Data początkowa okresu, za który sporządzono sprawozdanie:</t>
  </si>
  <si>
    <t>Data końcowa okresu, za który sporządzono sprawozdanie:</t>
  </si>
  <si>
    <t>Sprawozdanie finansowe zostało sporządzone zgodnie z załącznikiem Nr 6 do ustawy o rachunkowości.</t>
  </si>
  <si>
    <t xml:space="preserve">Wskazanie, czy sprawozdanie finansowe zostało sporządzone przy założeniu kontynuowania </t>
  </si>
  <si>
    <t xml:space="preserve">działalności przez jednostkę w dającej się przewidzieć przyszłości oraz </t>
  </si>
  <si>
    <t xml:space="preserve">czy nie istnieją okoliczności wskazujące na zagrożenie kontynuowania przez nią działalności. </t>
  </si>
  <si>
    <t xml:space="preserve">Omówienie przyjętych zasad (polityki) rachunkowości, w zakresie w jakim ustawa pozostawia </t>
  </si>
  <si>
    <t>jednostce prawo wyboru, w tym: metod wyceny aktywów i pasywów (także amortyzacji),</t>
  </si>
  <si>
    <t>ustalenia wyniku finansowego oraz sposobu sporządzenia sprawozdania finansowego.</t>
  </si>
  <si>
    <r>
      <t xml:space="preserve">Aktywa i pasywa wyceniane są, </t>
    </r>
    <r>
      <rPr>
        <sz val="12"/>
        <color theme="1"/>
        <rFont val="Arial"/>
        <family val="2"/>
        <charset val="238"/>
      </rPr>
      <t>zgodnie z przyjętymi zakładowymi zasadami (polityką) rachunkowości, następującymi metodami:</t>
    </r>
  </si>
  <si>
    <t xml:space="preserve">1) wartości niematerialne i prawne wedługcen nabycia lub kosztów wytworzenia pomniejszonych o odpisy umorzeniowe (amortyzacyjne) </t>
  </si>
  <si>
    <t xml:space="preserve">2) środki trwałe  według cen nabycia lub kosztów wytworzenia pomniejszonych o odpisy umorzeniowe (amortyzacyjne) </t>
  </si>
  <si>
    <t>3) środki trwałe w budowie w cenach nabycia lub kosztach wytworzenia</t>
  </si>
  <si>
    <t>4) inwestycje długoterminiwe: udziały w wartosci początkowej skorygowanej o odpisy aktualizujące; inwestycje w nieruchomości według wartości godziwej</t>
  </si>
  <si>
    <t>5) zapasy towarów i materiałów w cenach zakupu</t>
  </si>
  <si>
    <r>
      <t>6) należności w kwocie wymaganej zapłaty</t>
    </r>
    <r>
      <rPr>
        <b/>
        <sz val="12"/>
        <color rgb="FFFF0000"/>
        <rFont val="Arial"/>
        <family val="2"/>
        <charset val="238"/>
      </rPr>
      <t xml:space="preserve"> </t>
    </r>
  </si>
  <si>
    <t>7) inwestycje krótkoterminowe w wartości nominalnej</t>
  </si>
  <si>
    <t>8) fundusze własne w wartości nominalnej</t>
  </si>
  <si>
    <t>9) zobowiązania w kwotach wymagających zapłaty</t>
  </si>
  <si>
    <t>10) rozliczenia międzyokresowe kosztów - stosownie do upływu czasu</t>
  </si>
  <si>
    <t xml:space="preserve">Rachunek zysków i strat sporządzany jest w wariancie kalkulacyjnym </t>
  </si>
  <si>
    <t xml:space="preserve">Uproszczenia zastosowane w rachunkowości: </t>
  </si>
  <si>
    <t xml:space="preserve">1. ZHP nie stosuje przepisów Rozporządzenia Ministra Finansów z dnia 12.12.2001 r. w sprawie  szczegółowych zasad uznawania i sposobu prezentacji instrumentów finansowych </t>
  </si>
  <si>
    <t>2. Umowy najmu, dzierżawy, leasingu podlegają ewidencji klasyfikacji według zasad określonych w przepisach podatkowych. Rozliczanie w czasie kosztów wstepnych opłat leasingowych z tytułu umów leasingu zawartych przed rokiem 2016  będzie kontynuowane do momentu całkowitego rozliczenia.</t>
  </si>
  <si>
    <t>3. ZHP odstępuje od ustalania aktywów i rezerw z tytułu odroczonego podatku dochodowego.</t>
  </si>
  <si>
    <t>4. ZHP stosuje uproszczenia przy ustalaniu kosztu wytworzenia zgodnie z art. 28 ust. 4a uor.</t>
  </si>
  <si>
    <t>5. ZHP korzysta  z uporoszczeń w zakresie stosowania amortyzacji podatkowej dla potrzeb bilansowych</t>
  </si>
  <si>
    <t xml:space="preserve">6. ZHP nie stosuje zasady ostrożności w zakresie tworzenia odpisów aktualizujących i rezerw, </t>
  </si>
  <si>
    <t>7. ZHP nie tworzy rozliczeń międzyokresowych biernych na świadczenia pracownicze, w tym emerytalne.</t>
  </si>
  <si>
    <t>ZHP nie sporządza Rachunku przepływów pieniężnych oraz Zestawienia zmian w kapitale (funduszu) własnym.</t>
  </si>
  <si>
    <t>Łódź, 01.09.2020</t>
  </si>
  <si>
    <t>Miejsce i data sporządzenia</t>
  </si>
  <si>
    <t xml:space="preserve">Główny Księgowy                                    </t>
  </si>
  <si>
    <t>kierownik jednostki ZHP</t>
  </si>
  <si>
    <t xml:space="preserve">(imię i nazwisko osoby sporządzającej)               </t>
  </si>
  <si>
    <t xml:space="preserve">             (imię i nazwisko)</t>
  </si>
  <si>
    <t>II. BILANS</t>
  </si>
  <si>
    <t xml:space="preserve">na dzień 31 grudnia 2019 r. </t>
  </si>
  <si>
    <t>w zł i gr</t>
  </si>
  <si>
    <t>Wiersz</t>
  </si>
  <si>
    <t>AKTYWA</t>
  </si>
  <si>
    <t>Stan na koniec:</t>
  </si>
  <si>
    <t xml:space="preserve">roku poprzedniego </t>
  </si>
  <si>
    <t xml:space="preserve">roku bieżącego          </t>
  </si>
  <si>
    <t>A.</t>
  </si>
  <si>
    <t>Aktywa Trwałe</t>
  </si>
  <si>
    <t>I.</t>
  </si>
  <si>
    <t>Wartości niematerialne i prawne</t>
  </si>
  <si>
    <t>II.</t>
  </si>
  <si>
    <t>Rzeczowe aktywa trwałe</t>
  </si>
  <si>
    <t>III.</t>
  </si>
  <si>
    <t>Należności długoterminowe</t>
  </si>
  <si>
    <t>IV.</t>
  </si>
  <si>
    <t>Inwestycje długoterminowe</t>
  </si>
  <si>
    <t>V.</t>
  </si>
  <si>
    <t>Długoterminowe rozliczenia międzyokresowe</t>
  </si>
  <si>
    <t>B.</t>
  </si>
  <si>
    <t>Aktywa obrotowe</t>
  </si>
  <si>
    <t>Zapasy</t>
  </si>
  <si>
    <t>Należności krótkoterminowe</t>
  </si>
  <si>
    <t>Inwestycje krótkoterminowe</t>
  </si>
  <si>
    <t>Krótkoterminowe rozliczenia międzyokresowe</t>
  </si>
  <si>
    <t>C.</t>
  </si>
  <si>
    <t>Należne wpłaty na fundusz statutowy</t>
  </si>
  <si>
    <t>AKTYWA razem</t>
  </si>
  <si>
    <t>PASYWA</t>
  </si>
  <si>
    <t xml:space="preserve">roku obrotowego </t>
  </si>
  <si>
    <t>Fundusz własny</t>
  </si>
  <si>
    <t>Fundusz statutowy</t>
  </si>
  <si>
    <t>Pozostałe fundusze</t>
  </si>
  <si>
    <t>Zysk (strata) z lat ubiegłych</t>
  </si>
  <si>
    <t xml:space="preserve">Zysk (strata) netto </t>
  </si>
  <si>
    <t>Zobowiązania i rezerwy na zobowiązania</t>
  </si>
  <si>
    <t>Rezerwy na zobowiązania</t>
  </si>
  <si>
    <t>Zobowiązania długoterminowe</t>
  </si>
  <si>
    <t>Zobowiązania krótkoterminowe</t>
  </si>
  <si>
    <t>Rozliczenia międzyokresowe</t>
  </si>
  <si>
    <t>PASYWA razem</t>
  </si>
  <si>
    <t>Łódź, dn. 01.09.2020</t>
  </si>
  <si>
    <t xml:space="preserve">               (imię i nazwisko)</t>
  </si>
  <si>
    <t xml:space="preserve"> III. RACHUNEK ZYSKÓW i STRAT </t>
  </si>
  <si>
    <t>za okres od 01.01.2019 do 31.12.2019</t>
  </si>
  <si>
    <t>Pozycja</t>
  </si>
  <si>
    <t>Wyszczególnienie</t>
  </si>
  <si>
    <t xml:space="preserve">Kwota za rok poprzedni        </t>
  </si>
  <si>
    <t xml:space="preserve">Kwota za rok bieżący                 </t>
  </si>
  <si>
    <t xml:space="preserve">A. </t>
  </si>
  <si>
    <t>Przychody działalności statutowej  pożytku publicznego</t>
  </si>
  <si>
    <t>Przychody z nieodpłatnej działalności pożytku publicznego</t>
  </si>
  <si>
    <t>Przychody z odpłatnej działalności pożytku publicznego</t>
  </si>
  <si>
    <t xml:space="preserve">Przychody z pozostałej działalności statutowej </t>
  </si>
  <si>
    <t xml:space="preserve"> B.</t>
  </si>
  <si>
    <t>Koszty realizacji zadań statutowych pożytku publicznego:</t>
  </si>
  <si>
    <t>Koszty nieodpłatnej działalności pożytku publicznego</t>
  </si>
  <si>
    <t>Koszty odpłatnej działalności pożytku publicznego</t>
  </si>
  <si>
    <t xml:space="preserve">Koszty pozostałej działalności statutowej </t>
  </si>
  <si>
    <t>Zysk (strata) z działalności pożytku publicznego  (A-B)</t>
  </si>
  <si>
    <t>D.</t>
  </si>
  <si>
    <t>Przychody z działalności gospodarczej</t>
  </si>
  <si>
    <t>E.</t>
  </si>
  <si>
    <t>Koszty działalności gospodarczej</t>
  </si>
  <si>
    <t>F.</t>
  </si>
  <si>
    <t>Zysk (strata) z działalności gospodarczej (D-E)</t>
  </si>
  <si>
    <t>G.</t>
  </si>
  <si>
    <t xml:space="preserve">Koszty ogólnego zarządu </t>
  </si>
  <si>
    <t xml:space="preserve">H. </t>
  </si>
  <si>
    <t>Zysk (strata) z działalności operacyjnej (C+F-G)</t>
  </si>
  <si>
    <t xml:space="preserve">I. </t>
  </si>
  <si>
    <t>Pozostałe przychody operacyjne</t>
  </si>
  <si>
    <t xml:space="preserve">J. </t>
  </si>
  <si>
    <t>Pozostałe koszty operacyjne</t>
  </si>
  <si>
    <t>K.</t>
  </si>
  <si>
    <t>Przychody finansowe</t>
  </si>
  <si>
    <t>L.</t>
  </si>
  <si>
    <t>Koszty finansowe</t>
  </si>
  <si>
    <t>M.</t>
  </si>
  <si>
    <t>Zysk (Strata) brutto (H+I-J+K-L)</t>
  </si>
  <si>
    <t>N.</t>
  </si>
  <si>
    <t xml:space="preserve">Podatek dochodowy </t>
  </si>
  <si>
    <t>O.</t>
  </si>
  <si>
    <t>Zysk (Strata) netto (M-N)</t>
  </si>
  <si>
    <t xml:space="preserve">Główny Księgowy                                     </t>
  </si>
  <si>
    <t>IV. Informacja dodatkowa</t>
  </si>
  <si>
    <t xml:space="preserve">w zł i gr. </t>
  </si>
  <si>
    <t>za okres 01.01.2019 do 31.12.2019</t>
  </si>
  <si>
    <t>Informacje o wszelkich zobowiązaniach finansowych, w tym z tytułu dłużnych instrumentów finansowych, gwarancji i poręczeń lub zobowiązań warunkowych nieuwzględnionych w bilansie, ze wskazaniem charakteru i formy wierzytelności zabezpieczonych rzeczowo;</t>
  </si>
  <si>
    <t>Krótkoterminowe zobowiązania finansowe</t>
  </si>
  <si>
    <t>Długoterminowe zobowiązania finansowe</t>
  </si>
  <si>
    <t xml:space="preserve">Stan na początek roku obrotowego </t>
  </si>
  <si>
    <t xml:space="preserve">Stan na koniec roku obrotowego </t>
  </si>
  <si>
    <t>1) kredyty obrotowe</t>
  </si>
  <si>
    <t xml:space="preserve">2) kredyty inwestycyjne </t>
  </si>
  <si>
    <t>3) kredyty na środki trwałe</t>
  </si>
  <si>
    <t>4) pożyczki</t>
  </si>
  <si>
    <t>5) zobowiązania z tytułu leasingu finansowego</t>
  </si>
  <si>
    <t>6) inne</t>
  </si>
  <si>
    <t>saldo rachunku</t>
  </si>
  <si>
    <t xml:space="preserve">Razem </t>
  </si>
  <si>
    <t>Udzielone gwarancje, poręczenia i inne zobowiązania warunkowe</t>
  </si>
  <si>
    <t>Informacje o kwotach zaliczek i kredytów udzielonych członkom organów administrujących, zarządzających i nadzorujących, ze wskazaniem oprocentowania, głównych warunków oraz wszelkich kwot spłaconych, odpisanych lub umorzonych, a także zobowiązań zaciągniętych w ich imieniu tytułem gwarancji i poręczeń wszelkiego rodzaju, ze wskazaniem kwoty ogółem dla każdej kategorii;</t>
  </si>
  <si>
    <t>Członkowie organu</t>
  </si>
  <si>
    <t xml:space="preserve">zarządzającego </t>
  </si>
  <si>
    <t xml:space="preserve">nadzorującego </t>
  </si>
  <si>
    <t>1) udzielone pożyczki</t>
  </si>
  <si>
    <t>2) oprocentowanie (od-do)</t>
  </si>
  <si>
    <t>3) istotne warunki umowy</t>
  </si>
  <si>
    <t>4) kwota spłacona</t>
  </si>
  <si>
    <t>5) kwota umorzona lub odpisana</t>
  </si>
  <si>
    <t>6) stan na dzień bilansowy</t>
  </si>
  <si>
    <t>7) stan zaliczek na dzień bilansowy</t>
  </si>
  <si>
    <t>8) zobowiązania jednostki tytułem gwarancji i poręczeń za zobowiązania zaciągnięte przez członków organów</t>
  </si>
  <si>
    <t>Uzupełniające dane o aktywach i pasywach;</t>
  </si>
  <si>
    <t xml:space="preserve">1) Zmiany wartości środków trwałych i wartości niematerialnych i prawnych  w ciągu roku obrotowego i roku poprzedniego </t>
  </si>
  <si>
    <t>a) zmiany wartości środków trwałych i wartości niematerialnych i prawnych w ciągu roku obrotowego</t>
  </si>
  <si>
    <t>środki trwałe - wartość początkowa</t>
  </si>
  <si>
    <t xml:space="preserve">Wartość początkowa na początek roku obrotowego </t>
  </si>
  <si>
    <t>Zwiększenia z tytułu: nabycia, aktualizacji, innych przyczyn</t>
  </si>
  <si>
    <t>Zmniejszenia z tytułu: sprzedaży, aktualizacji, innych przyczyn</t>
  </si>
  <si>
    <t>Wartość początkowa na koniec roku obrotowego</t>
  </si>
  <si>
    <t>Środki trwałe razem</t>
  </si>
  <si>
    <t>w tym:</t>
  </si>
  <si>
    <t>1) Grunty własne</t>
  </si>
  <si>
    <t xml:space="preserve">2) Prawo użytkowania wieczystego gruntu  </t>
  </si>
  <si>
    <t>3) Budynki i budowle</t>
  </si>
  <si>
    <t>4) Spółdzielcze własnościowe prawa do lokali</t>
  </si>
  <si>
    <t>5) Urządzenia techniczne i maszyny</t>
  </si>
  <si>
    <t>6) Środki transportu</t>
  </si>
  <si>
    <t>7) Pozostałe środki trwałe</t>
  </si>
  <si>
    <t>środki trwałe - umorzenia</t>
  </si>
  <si>
    <t xml:space="preserve">Umorzenia na początek roku obrotowego </t>
  </si>
  <si>
    <t>Zwiększenia z tytułu: amortyzacji, innych przyczyn</t>
  </si>
  <si>
    <t>Zmniejszenia z tytułu: sprzedaży, likwidacji, innych przyczyn</t>
  </si>
  <si>
    <t>Umorzenia na koniec roku obrotowego</t>
  </si>
  <si>
    <t>Umorzenia środków trwałych razem</t>
  </si>
  <si>
    <t>Wartości niematerialne i prawne - wartość początkowa</t>
  </si>
  <si>
    <t>Wartości niematerialne i prawne razem</t>
  </si>
  <si>
    <t>1) licencje</t>
  </si>
  <si>
    <t>2) pozostałe</t>
  </si>
  <si>
    <t>Wartości niematerialne i prawne - umorzenia</t>
  </si>
  <si>
    <t>Umorzenie wartości niematerialnych i prawnych razem</t>
  </si>
  <si>
    <t>b) zmiany wartości środków trwałych i wartości niematerialnych i prawnych w ciągu roku poprzedniego</t>
  </si>
  <si>
    <t xml:space="preserve">2) Zmiany wartości długoterminowych aktywów (inwestycji) finansowych  w ciągu roku obrotowego i roku poprzedniego </t>
  </si>
  <si>
    <t>a) zmiany wartości długoterminowych aktywów (inwestycji) finansowych w ciągu roku obrotowego</t>
  </si>
  <si>
    <t>Stan na początek roku obrotowego (wartość brutto)</t>
  </si>
  <si>
    <t>Zwiększenia z tytułu: zakupu, innych</t>
  </si>
  <si>
    <t>Zmniejszenia z tytułu: sprzedaży, innych</t>
  </si>
  <si>
    <t>Stan na koniec roku obrotowego (wartość butto)</t>
  </si>
  <si>
    <t>Wartość odpisów aktualizujących inwestycje</t>
  </si>
  <si>
    <t>Wartość netto inwestycji długoterminowych</t>
  </si>
  <si>
    <t>na początek roku obrotowego</t>
  </si>
  <si>
    <t>zwiększenia</t>
  </si>
  <si>
    <t>zmniejszenia</t>
  </si>
  <si>
    <t xml:space="preserve">na koniec roku obrotowego </t>
  </si>
  <si>
    <t>Długoterminowe aktywa finansowe (inwestycje) razem</t>
  </si>
  <si>
    <t>Spółka "Skaut"</t>
  </si>
  <si>
    <t>b) zmiany wartości długoterminowych aktywów (inwestycji) finansowych w ciągu roku poprzedniego</t>
  </si>
  <si>
    <t>3) Zapasy</t>
  </si>
  <si>
    <t>Stan na koniec roku obrotowego</t>
  </si>
  <si>
    <t>Zapasy razem</t>
  </si>
  <si>
    <t xml:space="preserve">1) materiały </t>
  </si>
  <si>
    <t>2) towary</t>
  </si>
  <si>
    <t>3) zaliczki na poczet dostaw</t>
  </si>
  <si>
    <t>4) Należności</t>
  </si>
  <si>
    <t>Należności razem</t>
  </si>
  <si>
    <t>1. Należności długoterminowe</t>
  </si>
  <si>
    <t>2. Należności krótkoterminowe</t>
  </si>
  <si>
    <t>1) z tytułu dostaw i usług</t>
  </si>
  <si>
    <t>2) z tytułu podatków, ubezpieczeń społecznych i zdrowotnych oraz innych tytułów publiczno-prawnych</t>
  </si>
  <si>
    <t>3) z tytułu wynagrodzeń</t>
  </si>
  <si>
    <t>4) z tytułu rozrachunków z pracownikami i wolontariuszami</t>
  </si>
  <si>
    <t>5) wzajemne rozrachunki</t>
  </si>
  <si>
    <t xml:space="preserve">6) pozostałe </t>
  </si>
  <si>
    <t xml:space="preserve">7) odpisy aktualizujące </t>
  </si>
  <si>
    <t>5) Inwestycje krótkoterminowe</t>
  </si>
  <si>
    <t>Inwestycje krótkoterminowe razem</t>
  </si>
  <si>
    <t>1) środki pieniężne na bieżących rachunkach bankowych</t>
  </si>
  <si>
    <t>2) środki pieniężne na rachunkach bankowych lokat krótkoterminowych</t>
  </si>
  <si>
    <t>3) środki pieniężne w kasie</t>
  </si>
  <si>
    <t>4) inne środki pieniężne</t>
  </si>
  <si>
    <t>5) udzielone pożyczki</t>
  </si>
  <si>
    <t>6) Zobowiązania</t>
  </si>
  <si>
    <t>Zobowiązania razem</t>
  </si>
  <si>
    <t>1) z tytułu kredytów i pożyczek</t>
  </si>
  <si>
    <t>2) zaliczki otrzymane na dostawy i usługi</t>
  </si>
  <si>
    <t>3) z tytułu kredytów i pożyczek</t>
  </si>
  <si>
    <t>4) z tytułu podatków, ubezpieczeń społecznych i zdrowotnych oraz innych tytułów publiczno-prawnych</t>
  </si>
  <si>
    <t>5) z tytułu wynagrodzeń</t>
  </si>
  <si>
    <t>6) z tytułu rozrachunków z pracownikami i wolontariuszami</t>
  </si>
  <si>
    <t>7) wzajemne rozrachunki</t>
  </si>
  <si>
    <t xml:space="preserve">8) pozostałe </t>
  </si>
  <si>
    <t>9) Fundusze specjalne</t>
  </si>
  <si>
    <t>7) Rozliczenia międzyokresowe kosztów</t>
  </si>
  <si>
    <t>Krótkoterminowe</t>
  </si>
  <si>
    <t>Długoterminowe</t>
  </si>
  <si>
    <t>Rozliczenia międzyokresowe kosztów razem</t>
  </si>
  <si>
    <t>1) rozliczenia międzyokresowe czynne</t>
  </si>
  <si>
    <t>z tego:</t>
  </si>
  <si>
    <t>a) ubezpieczenia</t>
  </si>
  <si>
    <t>b) prenumerata</t>
  </si>
  <si>
    <t>c) domeny internetowe</t>
  </si>
  <si>
    <t>d) wstępne opłaty leasingowe</t>
  </si>
  <si>
    <t>e) pozostałe</t>
  </si>
  <si>
    <t>2) rozliczenia międzyokresowe bierne</t>
  </si>
  <si>
    <t>8) Rozliczenia międzyokresowe przychodów</t>
  </si>
  <si>
    <t>Rozliczenia międzyokresowe przychodów razem</t>
  </si>
  <si>
    <t>1) Darowizna środków trwałych, środków trwałych w budowie oraz wartości niematerialnych i prawnych</t>
  </si>
  <si>
    <t>2) Dotacje na sfinansowanie środków trwałych, środków trwałych w budowie, WNiP oraz prac rozwojowych</t>
  </si>
  <si>
    <t>3) Składki członkowskie</t>
  </si>
  <si>
    <t>4) Dotacje do rozliczenia w latach następnych</t>
  </si>
  <si>
    <t>5) Prawo wieczystego użytkowania gruntów</t>
  </si>
  <si>
    <t>6) Pozostałe</t>
  </si>
  <si>
    <t xml:space="preserve">4. </t>
  </si>
  <si>
    <t>Informacje o strukturze zrealizowanych przychodów ze wskazaniem ich źródeł, w tym w szczególności informacje o przychodach wyodrębnionych zgodnie z przepisami ustawy z dnia 24 kwietnia 2003 r. o działalności pożytku publicznego i o wolontariacie, oraz informacje o przychodach z tytułu składek członkowskich i dotacji pochodzących ze środków publicznych;</t>
  </si>
  <si>
    <t>1) Przychody działalności statutowej pożytku publicznego</t>
  </si>
  <si>
    <t>Przychody roku poprzedniego</t>
  </si>
  <si>
    <t>Przychody roku obrotowego</t>
  </si>
  <si>
    <t>kwota</t>
  </si>
  <si>
    <t>% w strukturze</t>
  </si>
  <si>
    <t xml:space="preserve">Przychody razem </t>
  </si>
  <si>
    <r>
      <t>1)</t>
    </r>
    <r>
      <rPr>
        <sz val="11"/>
        <color theme="1"/>
        <rFont val="Times New Roman"/>
        <family val="1"/>
        <charset val="238"/>
      </rPr>
      <t> </t>
    </r>
    <r>
      <rPr>
        <sz val="11"/>
        <color theme="1"/>
        <rFont val="Calibri"/>
        <family val="2"/>
        <charset val="238"/>
      </rPr>
      <t>Przychody działalności nieodpłatnej pożytku publicznego</t>
    </r>
  </si>
  <si>
    <r>
      <t>a)</t>
    </r>
    <r>
      <rPr>
        <sz val="11"/>
        <color theme="1"/>
        <rFont val="Times New Roman"/>
        <family val="1"/>
        <charset val="238"/>
      </rPr>
      <t> s</t>
    </r>
    <r>
      <rPr>
        <sz val="11"/>
        <color theme="1"/>
        <rFont val="Calibri"/>
        <family val="2"/>
        <charset val="238"/>
      </rPr>
      <t>kładki  członkowskie określone statutem</t>
    </r>
  </si>
  <si>
    <r>
      <t>b)</t>
    </r>
    <r>
      <rPr>
        <sz val="11"/>
        <color theme="1"/>
        <rFont val="Times New Roman"/>
        <family val="1"/>
        <charset val="238"/>
      </rPr>
      <t> d</t>
    </r>
    <r>
      <rPr>
        <sz val="11"/>
        <color theme="1"/>
        <rFont val="Calibri"/>
        <family val="2"/>
        <charset val="238"/>
      </rPr>
      <t>otacje i subwencje</t>
    </r>
  </si>
  <si>
    <t>c) pozostałe przychody</t>
  </si>
  <si>
    <r>
      <t>2)</t>
    </r>
    <r>
      <rPr>
        <sz val="11"/>
        <color theme="1"/>
        <rFont val="Times New Roman"/>
        <family val="1"/>
        <charset val="238"/>
      </rPr>
      <t> </t>
    </r>
    <r>
      <rPr>
        <sz val="11"/>
        <color theme="1"/>
        <rFont val="Calibri"/>
        <family val="2"/>
        <charset val="238"/>
      </rPr>
      <t>Przychody działalności odpłatnej pożytku publicznego</t>
    </r>
  </si>
  <si>
    <t>a) dotacje i subwencje</t>
  </si>
  <si>
    <t>b) pozostałe przychody</t>
  </si>
  <si>
    <r>
      <t>3)</t>
    </r>
    <r>
      <rPr>
        <sz val="11"/>
        <color theme="1"/>
        <rFont val="Times New Roman"/>
        <family val="1"/>
        <charset val="238"/>
      </rPr>
      <t xml:space="preserve"> </t>
    </r>
    <r>
      <rPr>
        <sz val="11"/>
        <color theme="1"/>
        <rFont val="Calibri"/>
        <family val="2"/>
        <charset val="238"/>
      </rPr>
      <t xml:space="preserve">Przychody z pozostałej działalności statutowej </t>
    </r>
  </si>
  <si>
    <r>
      <t>4)</t>
    </r>
    <r>
      <rPr>
        <sz val="11"/>
        <color theme="1"/>
        <rFont val="Times New Roman"/>
        <family val="1"/>
        <charset val="238"/>
      </rPr>
      <t> </t>
    </r>
    <r>
      <rPr>
        <sz val="11"/>
        <color theme="1"/>
        <rFont val="Calibri"/>
        <family val="2"/>
        <charset val="238"/>
      </rPr>
      <t>Pozostałe przychody operacyjne działalności statutowej</t>
    </r>
  </si>
  <si>
    <t>a) przychody  w wysokości amortyzacji/umorzenia środków trwałych sfinanowanych z dotacji</t>
  </si>
  <si>
    <t>b) przychody ze sprzedaży składników majątkowych</t>
  </si>
  <si>
    <t>c) aktualizacja wartości aktywów niefinansowych</t>
  </si>
  <si>
    <t>d) pozostałe</t>
  </si>
  <si>
    <r>
      <t>5)</t>
    </r>
    <r>
      <rPr>
        <sz val="11"/>
        <color theme="1"/>
        <rFont val="Times New Roman"/>
        <family val="1"/>
        <charset val="238"/>
      </rPr>
      <t xml:space="preserve"> </t>
    </r>
    <r>
      <rPr>
        <sz val="11"/>
        <color theme="1"/>
        <rFont val="Calibri"/>
        <family val="2"/>
        <charset val="238"/>
      </rPr>
      <t xml:space="preserve">Pozostałe przychody finansowe działalności statutowej </t>
    </r>
  </si>
  <si>
    <t xml:space="preserve">a) odsetki </t>
  </si>
  <si>
    <t>b) różnice kursowe</t>
  </si>
  <si>
    <t>c) aktualizacja wartości aktywów finansowych</t>
  </si>
  <si>
    <t>2) Przychody działalności gospodarczej</t>
  </si>
  <si>
    <t>1) Przychody netto ze sprzedaży</t>
  </si>
  <si>
    <r>
      <t>a)</t>
    </r>
    <r>
      <rPr>
        <sz val="11"/>
        <color theme="1"/>
        <rFont val="Times New Roman"/>
        <family val="1"/>
        <charset val="238"/>
      </rPr>
      <t>  produktów</t>
    </r>
  </si>
  <si>
    <t>b) usług</t>
  </si>
  <si>
    <t>c) towarów</t>
  </si>
  <si>
    <t>d) materiałów</t>
  </si>
  <si>
    <r>
      <t>2)</t>
    </r>
    <r>
      <rPr>
        <sz val="11"/>
        <color theme="1"/>
        <rFont val="Times New Roman"/>
        <family val="1"/>
        <charset val="238"/>
      </rPr>
      <t> </t>
    </r>
    <r>
      <rPr>
        <sz val="11"/>
        <color theme="1"/>
        <rFont val="Calibri"/>
        <family val="2"/>
        <charset val="238"/>
      </rPr>
      <t>Pozostałe przychody operacyjne działalności gospodarczej</t>
    </r>
  </si>
  <si>
    <t>a) przychody ze sprzedaży składników majątkowych</t>
  </si>
  <si>
    <t>b) aktualizacja wartości aktywów niefinansowych</t>
  </si>
  <si>
    <t>c) pozostałe</t>
  </si>
  <si>
    <r>
      <t>3)</t>
    </r>
    <r>
      <rPr>
        <sz val="11"/>
        <color theme="1"/>
        <rFont val="Times New Roman"/>
        <family val="1"/>
        <charset val="238"/>
      </rPr>
      <t> </t>
    </r>
    <r>
      <rPr>
        <sz val="11"/>
        <color theme="1"/>
        <rFont val="Calibri"/>
        <family val="2"/>
        <charset val="238"/>
      </rPr>
      <t>Pozostałe przychody finansowe działalności gospodarczej</t>
    </r>
  </si>
  <si>
    <t>3) Łączna kwota przychodów</t>
  </si>
  <si>
    <t>Łączna kwota przychodów ogółem</t>
  </si>
  <si>
    <r>
      <t>3)</t>
    </r>
    <r>
      <rPr>
        <sz val="11"/>
        <color theme="1"/>
        <rFont val="Times New Roman"/>
        <family val="1"/>
        <charset val="238"/>
      </rPr>
      <t> </t>
    </r>
    <r>
      <rPr>
        <sz val="11"/>
        <color theme="1"/>
        <rFont val="Calibri"/>
        <family val="2"/>
        <charset val="238"/>
      </rPr>
      <t>Przychody z działalności gospodarczej</t>
    </r>
  </si>
  <si>
    <t>4) Przychody finansowe</t>
  </si>
  <si>
    <r>
      <t>5)</t>
    </r>
    <r>
      <rPr>
        <sz val="11"/>
        <color theme="1"/>
        <rFont val="Times New Roman"/>
        <family val="1"/>
        <charset val="238"/>
      </rPr>
      <t> </t>
    </r>
    <r>
      <rPr>
        <sz val="11"/>
        <color theme="1"/>
        <rFont val="Calibri"/>
        <family val="2"/>
        <charset val="238"/>
      </rPr>
      <t xml:space="preserve">Pozostałe przychody </t>
    </r>
  </si>
  <si>
    <t>4) Struktura zrealizowanych przychodów ze wskazaniem ich żródeł</t>
  </si>
  <si>
    <t>Przychody za rok poprzedni</t>
  </si>
  <si>
    <t>Przychody za rok obrotowy</t>
  </si>
  <si>
    <t>Przychody razem</t>
  </si>
  <si>
    <r>
      <t>1)</t>
    </r>
    <r>
      <rPr>
        <sz val="11"/>
        <color theme="1"/>
        <rFont val="Times New Roman"/>
        <family val="1"/>
        <charset val="238"/>
      </rPr>
      <t> </t>
    </r>
    <r>
      <rPr>
        <sz val="11"/>
        <color theme="1"/>
        <rFont val="Calibri"/>
        <family val="2"/>
        <charset val="238"/>
      </rPr>
      <t>Przychody z 1% podatku dochodowego od osób fizycznych</t>
    </r>
  </si>
  <si>
    <r>
      <t>2)</t>
    </r>
    <r>
      <rPr>
        <sz val="11"/>
        <color theme="1"/>
        <rFont val="Times New Roman"/>
        <family val="1"/>
        <charset val="238"/>
      </rPr>
      <t xml:space="preserve"> </t>
    </r>
    <r>
      <rPr>
        <sz val="11"/>
        <color theme="1"/>
        <rFont val="Calibri"/>
        <family val="2"/>
        <charset val="238"/>
      </rPr>
      <t>Ze źródeł publicznych ogółem:</t>
    </r>
  </si>
  <si>
    <r>
      <t>a)</t>
    </r>
    <r>
      <rPr>
        <sz val="11"/>
        <color theme="1"/>
        <rFont val="Times New Roman"/>
        <family val="1"/>
        <charset val="238"/>
      </rPr>
      <t xml:space="preserve">  </t>
    </r>
    <r>
      <rPr>
        <sz val="11"/>
        <color theme="1"/>
        <rFont val="Calibri"/>
        <family val="2"/>
        <charset val="238"/>
      </rPr>
      <t>ze środków europejskich w rozumieniu przepisów o finansach publicznych</t>
    </r>
  </si>
  <si>
    <t xml:space="preserve">b)  ze środków budżetu państwa </t>
  </si>
  <si>
    <t>c)  ze środków budżetu jednostek samorządu terytorialnego</t>
  </si>
  <si>
    <t>d)  ze środków państwowych funduszy celowych</t>
  </si>
  <si>
    <r>
      <t>3)</t>
    </r>
    <r>
      <rPr>
        <sz val="11"/>
        <color theme="1"/>
        <rFont val="Times New Roman"/>
        <family val="1"/>
        <charset val="238"/>
      </rPr>
      <t> </t>
    </r>
    <r>
      <rPr>
        <sz val="11"/>
        <color theme="1"/>
        <rFont val="Calibri"/>
        <family val="2"/>
        <charset val="238"/>
      </rPr>
      <t xml:space="preserve">Ze źródeł prywatnych ogółem: </t>
    </r>
  </si>
  <si>
    <r>
      <t>a)</t>
    </r>
    <r>
      <rPr>
        <sz val="11"/>
        <color theme="1"/>
        <rFont val="Times New Roman"/>
        <family val="1"/>
        <charset val="238"/>
      </rPr>
      <t xml:space="preserve"> </t>
    </r>
    <r>
      <rPr>
        <sz val="11"/>
        <color theme="1"/>
        <rFont val="Calibri"/>
        <family val="2"/>
        <charset val="238"/>
      </rPr>
      <t>ze składek członkowskich</t>
    </r>
  </si>
  <si>
    <r>
      <t>b)</t>
    </r>
    <r>
      <rPr>
        <sz val="11"/>
        <color theme="1"/>
        <rFont val="Times New Roman"/>
        <family val="1"/>
        <charset val="238"/>
      </rPr>
      <t xml:space="preserve">  </t>
    </r>
    <r>
      <rPr>
        <sz val="11"/>
        <color theme="1"/>
        <rFont val="Calibri"/>
        <family val="2"/>
        <charset val="238"/>
      </rPr>
      <t>z darowizn od osób fizycznych</t>
    </r>
  </si>
  <si>
    <r>
      <t>c)</t>
    </r>
    <r>
      <rPr>
        <sz val="11"/>
        <color theme="1"/>
        <rFont val="Times New Roman"/>
        <family val="1"/>
        <charset val="238"/>
      </rPr>
      <t xml:space="preserve">  z </t>
    </r>
    <r>
      <rPr>
        <sz val="11"/>
        <color theme="1"/>
        <rFont val="Calibri"/>
        <family val="2"/>
        <charset val="238"/>
      </rPr>
      <t>darowizn od osób prawnych</t>
    </r>
  </si>
  <si>
    <r>
      <t>d)</t>
    </r>
    <r>
      <rPr>
        <sz val="11"/>
        <color theme="1"/>
        <rFont val="Times New Roman"/>
        <family val="1"/>
        <charset val="238"/>
      </rPr>
      <t> </t>
    </r>
    <r>
      <rPr>
        <sz val="11"/>
        <color theme="1"/>
        <rFont val="Calibri"/>
        <family val="2"/>
        <charset val="238"/>
      </rPr>
      <t>z ofiarności publicznej (zbiórek publicznych, kwest)</t>
    </r>
  </si>
  <si>
    <r>
      <t>e)</t>
    </r>
    <r>
      <rPr>
        <sz val="11"/>
        <color theme="1"/>
        <rFont val="Times New Roman"/>
        <family val="1"/>
        <charset val="238"/>
      </rPr>
      <t> </t>
    </r>
    <r>
      <rPr>
        <sz val="11"/>
        <color theme="1"/>
        <rFont val="Calibri"/>
        <family val="2"/>
        <charset val="238"/>
      </rPr>
      <t>ze spadków , zapisów</t>
    </r>
  </si>
  <si>
    <r>
      <t>f)</t>
    </r>
    <r>
      <rPr>
        <sz val="11"/>
        <color theme="1"/>
        <rFont val="Times New Roman"/>
        <family val="1"/>
        <charset val="238"/>
      </rPr>
      <t>  </t>
    </r>
    <r>
      <rPr>
        <sz val="11"/>
        <color theme="1"/>
        <rFont val="Calibri"/>
        <family val="2"/>
        <charset val="238"/>
      </rPr>
      <t>z wpływu z majątku (w szczególności sprzedaży lub wynajmu składników majątkowych)</t>
    </r>
  </si>
  <si>
    <t>g) z działalności gospodarczej</t>
  </si>
  <si>
    <t>4) Z innych źródeł</t>
  </si>
  <si>
    <t>5.</t>
  </si>
  <si>
    <t>Informacje o strukturze poniesionych kosztów;</t>
  </si>
  <si>
    <t>1) Struktua kosztów według prowadzonej działalności</t>
  </si>
  <si>
    <t xml:space="preserve"> Koszty za rok poprzedni</t>
  </si>
  <si>
    <t>Koszty za rok obrotowy</t>
  </si>
  <si>
    <t>W tym: wysokość kosztów finansowana z 1% podatku dochodowego od osób fizycznych</t>
  </si>
  <si>
    <r>
      <t>1.</t>
    </r>
    <r>
      <rPr>
        <b/>
        <sz val="11"/>
        <color theme="1"/>
        <rFont val="Times New Roman"/>
        <family val="1"/>
        <charset val="238"/>
      </rPr>
      <t xml:space="preserve">        </t>
    </r>
    <r>
      <rPr>
        <b/>
        <sz val="11"/>
        <color theme="1"/>
        <rFont val="Calibri"/>
        <family val="2"/>
        <charset val="238"/>
      </rPr>
      <t>Koszty  razem:</t>
    </r>
  </si>
  <si>
    <r>
      <t>1)</t>
    </r>
    <r>
      <rPr>
        <sz val="11"/>
        <color theme="1"/>
        <rFont val="Times New Roman"/>
        <family val="1"/>
        <charset val="238"/>
      </rPr>
      <t xml:space="preserve">  </t>
    </r>
    <r>
      <rPr>
        <sz val="11"/>
        <color theme="1"/>
        <rFont val="Calibri"/>
        <family val="2"/>
        <charset val="238"/>
      </rPr>
      <t xml:space="preserve">Koszty z tytułu prowadzenia nieodpłatnej działalności pożytku publicznego </t>
    </r>
  </si>
  <si>
    <r>
      <t>2)</t>
    </r>
    <r>
      <rPr>
        <sz val="11"/>
        <color theme="1"/>
        <rFont val="Times New Roman"/>
        <family val="1"/>
        <charset val="238"/>
      </rPr>
      <t xml:space="preserve">  </t>
    </r>
    <r>
      <rPr>
        <sz val="11"/>
        <color theme="1"/>
        <rFont val="Calibri"/>
        <family val="2"/>
        <charset val="238"/>
      </rPr>
      <t>Koszty z tytułu prowadzenia odpłatnej działalności pożytku publicznego</t>
    </r>
  </si>
  <si>
    <t>3)  Koszty z tytułu prowadzenia pozostałej działalności statutowej</t>
  </si>
  <si>
    <r>
      <rPr>
        <sz val="11"/>
        <color theme="1"/>
        <rFont val="Times New Roman"/>
        <family val="1"/>
        <charset val="238"/>
      </rPr>
      <t>4) </t>
    </r>
    <r>
      <rPr>
        <sz val="11"/>
        <color theme="1"/>
        <rFont val="Calibri"/>
        <family val="2"/>
        <charset val="238"/>
      </rPr>
      <t>Koszty z tytułu prowadzenia działalności gospodarczej</t>
    </r>
  </si>
  <si>
    <r>
      <t>5)</t>
    </r>
    <r>
      <rPr>
        <sz val="11"/>
        <color theme="1"/>
        <rFont val="Times New Roman"/>
        <family val="1"/>
        <charset val="238"/>
      </rPr>
      <t> </t>
    </r>
    <r>
      <rPr>
        <sz val="11"/>
        <color theme="1"/>
        <rFont val="Calibri"/>
        <family val="2"/>
        <charset val="238"/>
      </rPr>
      <t>Koszty administracyjne (ogólnego zarządu)</t>
    </r>
  </si>
  <si>
    <t>6)  Pozostałe koszty operacyjne</t>
  </si>
  <si>
    <t>a) strata ze sprzedaży składników majątkowych</t>
  </si>
  <si>
    <r>
      <t>7)</t>
    </r>
    <r>
      <rPr>
        <sz val="11"/>
        <color theme="1"/>
        <rFont val="Times New Roman"/>
        <family val="1"/>
        <charset val="238"/>
      </rPr>
      <t> </t>
    </r>
    <r>
      <rPr>
        <sz val="11"/>
        <color theme="1"/>
        <rFont val="Calibri"/>
        <family val="2"/>
        <charset val="238"/>
      </rPr>
      <t xml:space="preserve">Koszty finansowe </t>
    </r>
  </si>
  <si>
    <r>
      <t>2.</t>
    </r>
    <r>
      <rPr>
        <b/>
        <sz val="11"/>
        <color theme="1"/>
        <rFont val="Times New Roman"/>
        <family val="1"/>
        <charset val="238"/>
      </rPr>
      <t xml:space="preserve">        </t>
    </r>
    <r>
      <rPr>
        <b/>
        <sz val="11"/>
        <color theme="1"/>
        <rFont val="Calibri"/>
        <family val="2"/>
        <charset val="238"/>
      </rPr>
      <t xml:space="preserve">Koszty kampanii informacyjnej lub reklamowej związanej z pozyskiwaniem 1% podatku dochodowego od osób fizycznych </t>
    </r>
  </si>
  <si>
    <t>2) Struktura kosztów w układzie rodzajowym</t>
  </si>
  <si>
    <t>Koszty za rok poprzedni</t>
  </si>
  <si>
    <t>Koszty  razem:</t>
  </si>
  <si>
    <t>1) Amortyzacja</t>
  </si>
  <si>
    <t>2) Zużycie materiałów i energii</t>
  </si>
  <si>
    <t>3) Usługi obce</t>
  </si>
  <si>
    <t>4) Wynagrodzenia z umów o pracę</t>
  </si>
  <si>
    <t>5) Wynagrodzenia z umów cywilnoprawnych</t>
  </si>
  <si>
    <t>6) Ubezpieczenia społeczne i inne świadczenia</t>
  </si>
  <si>
    <t>7) Koszty podróży</t>
  </si>
  <si>
    <t>8) Koszty reprezentacji i reklamy</t>
  </si>
  <si>
    <t>9) Podatki i opłaty</t>
  </si>
  <si>
    <t>10) Pozostałe koszty rodzajowe</t>
  </si>
  <si>
    <t>6.</t>
  </si>
  <si>
    <t>Dane o zródłach zwiększenia i sposobie wykorzystania funduszu statutowego</t>
  </si>
  <si>
    <t>Rok poprzedni</t>
  </si>
  <si>
    <t>Rok obrotowy</t>
  </si>
  <si>
    <t>Stan na początek roku (BO)</t>
  </si>
  <si>
    <t>Zwiększenia, w tym z tytułu: (+)</t>
  </si>
  <si>
    <t>zysk za rok poprzedni</t>
  </si>
  <si>
    <t>wycena kapitału (Kostiuchnówka )</t>
  </si>
  <si>
    <t>Zmniejszenia, w tym w celu: (-)</t>
  </si>
  <si>
    <t>pokrycie straty za rok poprzedni</t>
  </si>
  <si>
    <t>pokrycie strat z lat ubieglych</t>
  </si>
  <si>
    <t>Stan na koniec okresu (BZ)</t>
  </si>
  <si>
    <t xml:space="preserve">7. </t>
  </si>
  <si>
    <t>Dane na temat uzyskanych przychodów i poniesionych kosztów z tytułu 1% podatku dochodowego od osób fizycznych oraz sposobu wydatkowania środków pochodzących z 1% podatku dochodowego od osób fizycznych;</t>
  </si>
  <si>
    <t>Przychody z 1% pdof</t>
  </si>
  <si>
    <t>wpłaty 1% pdof</t>
  </si>
  <si>
    <t xml:space="preserve">Kwota </t>
  </si>
  <si>
    <t xml:space="preserve">1. uzyskane i niewydatkowane w latach ubieglych, a wydatkowane w roku obrotowym </t>
  </si>
  <si>
    <t>2. uzyskane w roku obrotowym</t>
  </si>
  <si>
    <t>3. wydatkowane w roku obrotowym</t>
  </si>
  <si>
    <t>4. pozostało do wydatkowania w latach następnych</t>
  </si>
  <si>
    <t>Działania i kwoty, na które wydatkowano w roku obrotowym środki pochodzące z 1 % pdof</t>
  </si>
  <si>
    <t>Opis działania</t>
  </si>
  <si>
    <t>Utrzymanie budynków, remonty, administracja, energia, paliwo</t>
  </si>
  <si>
    <t>Działalność śródroczna/zadania programowe, zbiórki, imprezy itp.</t>
  </si>
  <si>
    <t>HAL/HAZ</t>
  </si>
  <si>
    <t>Pomoc w leczeniu</t>
  </si>
  <si>
    <t>8.</t>
  </si>
  <si>
    <t>Inne informacje</t>
  </si>
  <si>
    <t>1) Przeciętne zatrudnienie w etatach</t>
  </si>
  <si>
    <t>2) przedstawienie dokonanych w roku obrotowym zmian zasad (polityki) rachunkowości, w tym metod wyceny, jeżeli wywierają one istotny wpływ na sytuację majątkową, finansową i wynik finansowy jednostki, ich przyczyny i spowodowaną zmianami kwotę wyniku finansowego oraz zmian w kapitale (funduszu) własnym, oraz przedstawienie zmiany sposobu sporządzania sprawozdania finansowego wraz z podaniem jej przyczyny</t>
  </si>
  <si>
    <t>3)  Informacje o przychodach i kosztach z tytułu błędów popełnionych w latach ubiegłych odnoszonych w roku obrotowym na kapitał (fundusz) własny z podaniem ich kwot i rodzaju</t>
  </si>
  <si>
    <t>Pozostałe koszty operacyjne w wysokości 571.001,08 zł, z tytułu  rezerwy na rentę dożywotnią na dzień 31.12.2018 r.</t>
  </si>
  <si>
    <t>4) informacje liczbowe, wraz z wyjaśnieniem, zapewniające porównywalność danych sprawozdania finansowego za rok poprzedzający ze sprawozdaniem za rok obrotowy</t>
  </si>
  <si>
    <t>Dane za poprzedni rok obrotowy</t>
  </si>
  <si>
    <t>Dane za bieżący rok obrotowy</t>
  </si>
  <si>
    <t>dane porównawcze</t>
  </si>
  <si>
    <t>przekształcone dane porównawcze</t>
  </si>
  <si>
    <t>zysk (strata) netto</t>
  </si>
  <si>
    <t>rezerwy na zobowiazania</t>
  </si>
  <si>
    <t>pozostałe koszty opercyjne</t>
  </si>
  <si>
    <t xml:space="preserve">5) COVID </t>
  </si>
  <si>
    <t xml:space="preserve">Pod koniec 2019 roku po raz pierwszy pojawiły się informacje z Chin dotyczące COVID-19 (koronawirusa). W pierwszych miesiącach 2020 roku wirus rozprzestrzenił się na całym świecie, a jego negatywny wpływ objął wiele krajów. Chociaż w chwili sporządzania niniejszego sprawozdania finansowego sytuacja ta wciąż się zmienia, wydaje się, że negatywny wpływ na jednostkę i jej gosp. otoczenie może być poważniejsze niż pierwotnie oczekiwano. 
W związku z zaistniałą sytuacją epidemiczną w 2020 roku nie możemy prowadzić swojej bieżącej działalności statutowej odpłatnej i nieodpłatnej jak i działalności gospodarczej, przez co nie przyjmujemy wpływów z tego tytułu.  Ośrodki Harcerskie i Bazy obozowe, ruszyły w okrojonym składzie, a Harcerska Akcja Letnia została zrealizowana w 30%          w stosunku do lat wcześniejszych. 
Komenda Chorągwi uważa taką sytuację za zdarzenie nie powodujące korekt w sprawozdaniu finansowym za 2019 rok, lecz za zdarzenie po dacie bilansu wymagające dodatkowych ujawnień. Ponieważ sytuacja wciąż się rozwija, Komenda uważa, że nie jest możliwe przedstawienie szacunków ilościowych potencjalnego wpływu obecnej sytuacji na jednostkę. Ewentualny wpływ zostanie uwzględniony w sprawozdaniu finansowym za 2020 rok.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</si>
</sst>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5]General"/>
    <numFmt numFmtId="165" formatCode="#,##0.00;\ \(#,##0.00\)"/>
  </numFmts>
  <fonts count="79">
    <font>
      <sz val="11"/>
      <color theme="1"/>
      <name val="Calibri"/>
      <family val="2"/>
      <scheme val="minor"/>
    </font>
    <font>
      <sz val="11"/>
      <color theme="1"/>
      <name val="Calibri"/>
      <family val="2"/>
      <charset val="238"/>
      <scheme val="minor"/>
    </font>
    <font>
      <b/>
      <sz val="14"/>
      <color theme="1"/>
      <name val="Calibri"/>
      <family val="2"/>
      <charset val="238"/>
    </font>
    <font>
      <b/>
      <sz val="11"/>
      <color rgb="FF231F20"/>
      <name val="Calibri"/>
      <family val="2"/>
      <charset val="238"/>
    </font>
    <font>
      <sz val="10"/>
      <color theme="1"/>
      <name val="Calibri"/>
      <family val="2"/>
      <charset val="238"/>
    </font>
    <font>
      <b/>
      <sz val="11"/>
      <color theme="1"/>
      <name val="Calibri"/>
      <family val="2"/>
      <charset val="238"/>
      <scheme val="minor"/>
    </font>
    <font>
      <b/>
      <sz val="10"/>
      <color rgb="FF231F20"/>
      <name val="Calibri"/>
      <family val="2"/>
      <charset val="238"/>
    </font>
    <font>
      <b/>
      <sz val="12"/>
      <color rgb="FF231F20"/>
      <name val="Calibri"/>
      <family val="2"/>
      <charset val="238"/>
    </font>
    <font>
      <sz val="12"/>
      <color theme="1"/>
      <name val="Calibri"/>
      <family val="2"/>
      <charset val="238"/>
      <scheme val="minor"/>
    </font>
    <font>
      <i/>
      <sz val="11"/>
      <color theme="1"/>
      <name val="Calibri"/>
      <family val="2"/>
      <charset val="238"/>
      <scheme val="minor"/>
    </font>
    <font>
      <b/>
      <sz val="14"/>
      <color rgb="FF231F20"/>
      <name val="Calibri"/>
      <family val="2"/>
      <charset val="238"/>
    </font>
    <font>
      <b/>
      <i/>
      <sz val="11"/>
      <color theme="1"/>
      <name val="Calibri"/>
      <family val="2"/>
      <charset val="238"/>
      <scheme val="minor"/>
    </font>
    <font>
      <sz val="11"/>
      <color rgb="FF000000"/>
      <name val="Calibri"/>
      <family val="2"/>
      <charset val="238"/>
    </font>
    <font>
      <b/>
      <sz val="11"/>
      <color theme="1"/>
      <name val="Calibri"/>
      <family val="2"/>
      <charset val="238"/>
    </font>
    <font>
      <sz val="11"/>
      <color theme="1"/>
      <name val="Calibri"/>
      <family val="2"/>
      <charset val="238"/>
    </font>
    <font>
      <sz val="11"/>
      <color rgb="FF231F20"/>
      <name val="Calibri"/>
      <family val="2"/>
      <charset val="238"/>
    </font>
    <font>
      <sz val="11"/>
      <color theme="1"/>
      <name val="Times New Roman"/>
      <family val="1"/>
      <charset val="238"/>
    </font>
    <font>
      <i/>
      <sz val="11"/>
      <name val="Arial"/>
      <family val="2"/>
      <charset val="238"/>
    </font>
    <font>
      <sz val="11"/>
      <name val="Arial"/>
      <family val="2"/>
      <charset val="238"/>
    </font>
    <font>
      <sz val="10"/>
      <name val="Arial"/>
      <family val="2"/>
      <charset val="238"/>
    </font>
    <font>
      <b/>
      <sz val="11"/>
      <name val="Arial"/>
      <family val="2"/>
      <charset val="238"/>
    </font>
    <font>
      <sz val="11"/>
      <name val="Calibri"/>
      <family val="2"/>
      <charset val="238"/>
    </font>
    <font>
      <b/>
      <sz val="12"/>
      <color theme="1"/>
      <name val="Calibri"/>
      <family val="2"/>
      <scheme val="minor"/>
    </font>
    <font>
      <b/>
      <sz val="12"/>
      <color theme="1"/>
      <name val="Calibri"/>
      <family val="2"/>
      <charset val="238"/>
      <scheme val="minor"/>
    </font>
    <font>
      <sz val="12"/>
      <name val="Arial CE"/>
      <family val="2"/>
      <charset val="238"/>
    </font>
    <font>
      <sz val="11"/>
      <name val="Arial CE"/>
      <family val="2"/>
      <charset val="238"/>
    </font>
    <font>
      <b/>
      <sz val="12"/>
      <name val="Arial CE"/>
      <family val="2"/>
      <charset val="238"/>
    </font>
    <font>
      <sz val="10"/>
      <name val="Arial CE"/>
      <family val="2"/>
      <charset val="238"/>
    </font>
    <font>
      <sz val="11"/>
      <color indexed="10"/>
      <name val="Arial CE"/>
      <family val="2"/>
      <charset val="238"/>
    </font>
    <font>
      <b/>
      <sz val="11"/>
      <name val="Arial CE"/>
      <family val="2"/>
      <charset val="238"/>
    </font>
    <font>
      <b/>
      <sz val="11"/>
      <name val="Arial CE"/>
      <charset val="238"/>
    </font>
    <font>
      <b/>
      <sz val="10"/>
      <name val="Arial CE"/>
      <family val="2"/>
      <charset val="238"/>
    </font>
    <font>
      <b/>
      <sz val="10"/>
      <color indexed="10"/>
      <name val="Arial CE"/>
      <family val="2"/>
      <charset val="238"/>
    </font>
    <font>
      <sz val="10"/>
      <color indexed="10"/>
      <name val="Arial CE"/>
      <family val="2"/>
      <charset val="238"/>
    </font>
    <font>
      <b/>
      <sz val="12"/>
      <name val="Arial CE"/>
      <charset val="238"/>
    </font>
    <font>
      <i/>
      <sz val="11"/>
      <name val="Arial CE"/>
      <charset val="238"/>
    </font>
    <font>
      <b/>
      <i/>
      <sz val="11"/>
      <name val="Arial CE"/>
      <charset val="238"/>
    </font>
    <font>
      <b/>
      <i/>
      <u/>
      <sz val="10"/>
      <name val="Arial CE"/>
      <family val="2"/>
      <charset val="238"/>
    </font>
    <font>
      <b/>
      <sz val="14"/>
      <name val="Arial CE"/>
      <charset val="238"/>
    </font>
    <font>
      <b/>
      <sz val="11"/>
      <color indexed="8"/>
      <name val="Arial CE"/>
      <charset val="238"/>
    </font>
    <font>
      <b/>
      <i/>
      <sz val="12"/>
      <name val="Arial CE"/>
      <charset val="238"/>
    </font>
    <font>
      <sz val="12"/>
      <color indexed="10"/>
      <name val="Arial CE"/>
      <family val="2"/>
      <charset val="238"/>
    </font>
    <font>
      <b/>
      <sz val="12"/>
      <color indexed="10"/>
      <name val="Arial CE"/>
      <family val="2"/>
      <charset val="238"/>
    </font>
    <font>
      <b/>
      <sz val="14"/>
      <name val="Arial CE"/>
      <family val="2"/>
      <charset val="238"/>
    </font>
    <font>
      <b/>
      <sz val="12"/>
      <name val="Arial"/>
      <family val="2"/>
      <charset val="238"/>
    </font>
    <font>
      <b/>
      <sz val="11"/>
      <color theme="1"/>
      <name val="Calibri"/>
      <family val="2"/>
      <scheme val="minor"/>
    </font>
    <font>
      <sz val="11"/>
      <color theme="1"/>
      <name val="Calibri"/>
      <family val="2"/>
    </font>
    <font>
      <b/>
      <sz val="11"/>
      <color theme="1"/>
      <name val="Calibri"/>
      <family val="2"/>
    </font>
    <font>
      <b/>
      <sz val="11"/>
      <color theme="1"/>
      <name val="Arial"/>
      <family val="2"/>
      <charset val="238"/>
    </font>
    <font>
      <i/>
      <sz val="11"/>
      <color theme="1"/>
      <name val="Arial"/>
      <family val="2"/>
      <charset val="238"/>
    </font>
    <font>
      <b/>
      <i/>
      <sz val="10"/>
      <name val="Arial CE"/>
      <charset val="238"/>
    </font>
    <font>
      <sz val="11"/>
      <color theme="1"/>
      <name val="Calibri"/>
      <family val="1"/>
      <charset val="238"/>
    </font>
    <font>
      <i/>
      <u/>
      <sz val="10"/>
      <name val="Arial CE"/>
      <charset val="238"/>
    </font>
    <font>
      <b/>
      <sz val="11"/>
      <color theme="1"/>
      <name val="Times New Roman"/>
      <family val="1"/>
      <charset val="238"/>
    </font>
    <font>
      <b/>
      <sz val="11"/>
      <color rgb="FF231F20"/>
      <name val="Calibri"/>
      <family val="2"/>
    </font>
    <font>
      <sz val="11"/>
      <color rgb="FF231F20"/>
      <name val="Calibri"/>
      <family val="2"/>
    </font>
    <font>
      <sz val="12"/>
      <name val="Arial CE"/>
      <charset val="238"/>
    </font>
    <font>
      <sz val="11"/>
      <color theme="1"/>
      <name val="Arial"/>
      <family val="2"/>
      <charset val="238"/>
    </font>
    <font>
      <sz val="12"/>
      <name val="Arial"/>
      <family val="2"/>
      <charset val="238"/>
    </font>
    <font>
      <sz val="12"/>
      <color theme="1"/>
      <name val="Arial"/>
      <family val="2"/>
      <charset val="238"/>
    </font>
    <font>
      <b/>
      <sz val="10"/>
      <name val="Arial"/>
      <family val="2"/>
      <charset val="238"/>
    </font>
    <font>
      <b/>
      <i/>
      <sz val="11"/>
      <name val="Arial"/>
      <family val="2"/>
      <charset val="238"/>
    </font>
    <font>
      <b/>
      <i/>
      <sz val="12"/>
      <name val="Arial"/>
      <family val="2"/>
      <charset val="238"/>
    </font>
    <font>
      <i/>
      <sz val="12"/>
      <color rgb="FFFF0000"/>
      <name val="Arial"/>
      <family val="2"/>
      <charset val="238"/>
    </font>
    <font>
      <i/>
      <sz val="10"/>
      <name val="Arial"/>
      <family val="2"/>
      <charset val="238"/>
    </font>
    <font>
      <b/>
      <i/>
      <sz val="10"/>
      <name val="Arial"/>
      <family val="2"/>
      <charset val="238"/>
    </font>
    <font>
      <b/>
      <sz val="12"/>
      <color theme="1"/>
      <name val="Arial"/>
      <family val="2"/>
      <charset val="238"/>
    </font>
    <font>
      <b/>
      <sz val="12"/>
      <color rgb="FFFF0000"/>
      <name val="Arial"/>
      <family val="2"/>
      <charset val="238"/>
    </font>
    <font>
      <i/>
      <sz val="12"/>
      <name val="Arial"/>
      <family val="2"/>
      <charset val="238"/>
    </font>
    <font>
      <sz val="9"/>
      <color indexed="81"/>
      <name val="Tahoma"/>
      <family val="2"/>
      <charset val="238"/>
    </font>
    <font>
      <b/>
      <sz val="9"/>
      <color indexed="81"/>
      <name val="Tahoma"/>
      <family val="2"/>
      <charset val="238"/>
    </font>
    <font>
      <sz val="9"/>
      <color theme="1"/>
      <name val="Calibri"/>
      <family val="2"/>
      <charset val="238"/>
      <scheme val="minor"/>
    </font>
    <font>
      <sz val="10"/>
      <color rgb="FF231F20"/>
      <name val="Calibri"/>
      <family val="2"/>
      <charset val="238"/>
    </font>
    <font>
      <b/>
      <sz val="10"/>
      <color theme="1"/>
      <name val="Calibri"/>
      <family val="2"/>
    </font>
    <font>
      <sz val="10"/>
      <color theme="1"/>
      <name val="Calibri"/>
      <family val="2"/>
      <scheme val="minor"/>
    </font>
    <font>
      <b/>
      <sz val="10"/>
      <color theme="1"/>
      <name val="Calibri"/>
      <family val="2"/>
      <charset val="238"/>
    </font>
    <font>
      <b/>
      <sz val="10"/>
      <color theme="1"/>
      <name val="Arial"/>
      <family val="2"/>
      <charset val="238"/>
    </font>
    <font>
      <b/>
      <sz val="9"/>
      <color theme="1"/>
      <name val="Calibri"/>
      <family val="2"/>
      <charset val="238"/>
      <scheme val="minor"/>
    </font>
    <font>
      <i/>
      <sz val="11"/>
      <color rgb="FF231F20"/>
      <name val="Calibri"/>
      <family val="2"/>
      <charset val="238"/>
    </font>
  </fonts>
  <fills count="3">
    <fill>
      <patternFill patternType="none"/>
    </fill>
    <fill>
      <patternFill patternType="gray125"/>
    </fill>
    <fill>
      <patternFill patternType="solid">
        <fgColor rgb="FFFFFFFF"/>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medium">
        <color indexed="64"/>
      </bottom>
      <diagonal/>
    </border>
    <border>
      <left style="thin">
        <color rgb="FF000000"/>
      </left>
      <right/>
      <top style="thin">
        <color rgb="FF000000"/>
      </top>
      <bottom style="thin">
        <color rgb="FF000000"/>
      </bottom>
      <diagonal/>
    </border>
  </borders>
  <cellStyleXfs count="2">
    <xf numFmtId="0" fontId="0" fillId="0" borderId="0"/>
    <xf numFmtId="164" fontId="12" fillId="0" borderId="0" applyBorder="0" applyProtection="0"/>
  </cellStyleXfs>
  <cellXfs count="330">
    <xf numFmtId="0" fontId="0" fillId="0" borderId="0" xfId="0"/>
    <xf numFmtId="0" fontId="3" fillId="0" borderId="0" xfId="0" applyFont="1" applyAlignment="1">
      <alignment vertical="center"/>
    </xf>
    <xf numFmtId="0" fontId="7" fillId="0" borderId="0" xfId="0" applyFont="1" applyAlignment="1">
      <alignment vertical="center"/>
    </xf>
    <xf numFmtId="0" fontId="8" fillId="0" borderId="0" xfId="0" applyFont="1"/>
    <xf numFmtId="0" fontId="7" fillId="0" borderId="0" xfId="0" applyFont="1" applyAlignment="1">
      <alignment vertical="center" wrapText="1"/>
    </xf>
    <xf numFmtId="0" fontId="9" fillId="0" borderId="0" xfId="0" applyFont="1"/>
    <xf numFmtId="0" fontId="2" fillId="0" borderId="0" xfId="0" applyFont="1"/>
    <xf numFmtId="0" fontId="10" fillId="0" borderId="0" xfId="0" applyFont="1" applyAlignment="1">
      <alignment vertical="center"/>
    </xf>
    <xf numFmtId="0" fontId="0" fillId="0" borderId="0" xfId="0" applyAlignment="1">
      <alignment wrapText="1"/>
    </xf>
    <xf numFmtId="0" fontId="11" fillId="0" borderId="0" xfId="0" applyFont="1"/>
    <xf numFmtId="0" fontId="5" fillId="0" borderId="0" xfId="0" applyFont="1"/>
    <xf numFmtId="4" fontId="0" fillId="0" borderId="0" xfId="0" applyNumberFormat="1"/>
    <xf numFmtId="0" fontId="14" fillId="0" borderId="0" xfId="0" applyFont="1" applyAlignment="1">
      <alignment vertical="center" wrapText="1"/>
    </xf>
    <xf numFmtId="0" fontId="17" fillId="0" borderId="0" xfId="0" applyFont="1" applyAlignment="1">
      <alignment vertical="center"/>
    </xf>
    <xf numFmtId="0" fontId="18" fillId="0" borderId="0" xfId="0" applyFont="1" applyAlignment="1">
      <alignment vertical="center"/>
    </xf>
    <xf numFmtId="0" fontId="19" fillId="2" borderId="0" xfId="0" applyFont="1" applyFill="1" applyAlignment="1">
      <alignment vertical="center"/>
    </xf>
    <xf numFmtId="0" fontId="18" fillId="0" borderId="0" xfId="0" applyFont="1" applyAlignment="1">
      <alignment horizontal="center" vertical="center"/>
    </xf>
    <xf numFmtId="0" fontId="18" fillId="2" borderId="0" xfId="0" applyFont="1" applyFill="1" applyAlignment="1">
      <alignment vertical="center"/>
    </xf>
    <xf numFmtId="0" fontId="21" fillId="0" borderId="0" xfId="0" applyFont="1" applyAlignment="1">
      <alignment vertical="center" wrapText="1"/>
    </xf>
    <xf numFmtId="0" fontId="21" fillId="0" borderId="0" xfId="0" applyFont="1" applyAlignment="1">
      <alignment vertical="top"/>
    </xf>
    <xf numFmtId="0" fontId="10" fillId="0" borderId="0" xfId="0" applyFont="1" applyAlignment="1">
      <alignment vertical="center" wrapText="1"/>
    </xf>
    <xf numFmtId="0" fontId="22" fillId="0" borderId="0" xfId="0" applyFont="1"/>
    <xf numFmtId="0" fontId="23" fillId="0" borderId="0" xfId="0" applyFont="1"/>
    <xf numFmtId="0" fontId="24" fillId="0" borderId="0" xfId="0" applyFont="1" applyAlignment="1">
      <alignment horizontal="right" vertical="top"/>
    </xf>
    <xf numFmtId="0" fontId="26" fillId="0" borderId="0" xfId="0" applyFont="1" applyAlignment="1">
      <alignment horizontal="left" vertical="top"/>
    </xf>
    <xf numFmtId="0" fontId="25" fillId="0" borderId="0" xfId="0" applyFont="1" applyAlignment="1">
      <alignment horizontal="center"/>
    </xf>
    <xf numFmtId="0" fontId="27" fillId="0" borderId="0" xfId="0" applyFont="1"/>
    <xf numFmtId="0" fontId="31" fillId="0" borderId="0" xfId="0" applyFont="1" applyAlignment="1">
      <alignment horizontal="left" vertical="center"/>
    </xf>
    <xf numFmtId="165" fontId="32" fillId="0" borderId="0" xfId="0" applyNumberFormat="1" applyFont="1" applyAlignment="1">
      <alignment horizontal="left" vertical="center"/>
    </xf>
    <xf numFmtId="0" fontId="31" fillId="0" borderId="0" xfId="0" applyFont="1" applyAlignment="1">
      <alignment horizontal="right" vertical="top"/>
    </xf>
    <xf numFmtId="165" fontId="33" fillId="0" borderId="0" xfId="0" applyNumberFormat="1" applyFont="1" applyAlignment="1">
      <alignment horizontal="left" vertical="top"/>
    </xf>
    <xf numFmtId="0" fontId="27" fillId="0" borderId="0" xfId="0" applyFont="1" applyAlignment="1">
      <alignment horizontal="right" vertical="top"/>
    </xf>
    <xf numFmtId="165" fontId="25" fillId="0" borderId="0" xfId="0" applyNumberFormat="1" applyFont="1" applyAlignment="1">
      <alignment horizontal="right" vertical="top"/>
    </xf>
    <xf numFmtId="165" fontId="27" fillId="0" borderId="0" xfId="0" applyNumberFormat="1" applyFont="1" applyAlignment="1">
      <alignment horizontal="left" vertical="top"/>
    </xf>
    <xf numFmtId="165" fontId="31" fillId="0" borderId="0" xfId="0" applyNumberFormat="1" applyFont="1" applyAlignment="1">
      <alignment horizontal="left" vertical="top"/>
    </xf>
    <xf numFmtId="0" fontId="31" fillId="0" borderId="0" xfId="0" applyFont="1" applyAlignment="1">
      <alignment vertical="center"/>
    </xf>
    <xf numFmtId="0" fontId="31" fillId="0" borderId="0" xfId="0" applyFont="1" applyAlignment="1">
      <alignment vertical="top"/>
    </xf>
    <xf numFmtId="0" fontId="24" fillId="0" borderId="0" xfId="0" applyFont="1" applyAlignment="1">
      <alignment horizontal="right" vertical="center"/>
    </xf>
    <xf numFmtId="0" fontId="24" fillId="0" borderId="0" xfId="0" applyFont="1" applyAlignment="1">
      <alignment vertical="center"/>
    </xf>
    <xf numFmtId="0" fontId="25" fillId="0" borderId="0" xfId="0" applyFont="1" applyAlignment="1">
      <alignment horizontal="left" vertical="top"/>
    </xf>
    <xf numFmtId="0" fontId="29" fillId="0" borderId="0" xfId="0" applyFont="1" applyAlignment="1">
      <alignment horizontal="left" vertical="top"/>
    </xf>
    <xf numFmtId="0" fontId="35" fillId="0" borderId="0" xfId="0" applyFont="1" applyAlignment="1">
      <alignment horizontal="left" vertical="top"/>
    </xf>
    <xf numFmtId="0" fontId="36" fillId="0" borderId="0" xfId="0" applyFont="1" applyAlignment="1">
      <alignment horizontal="left" vertical="top"/>
    </xf>
    <xf numFmtId="0" fontId="25" fillId="0" borderId="0" xfId="0" applyFont="1" applyAlignment="1">
      <alignment horizontal="right" vertical="top"/>
    </xf>
    <xf numFmtId="165" fontId="29" fillId="0" borderId="0" xfId="0" applyNumberFormat="1" applyFont="1" applyAlignment="1">
      <alignment vertical="top"/>
    </xf>
    <xf numFmtId="165" fontId="35" fillId="0" borderId="0" xfId="0" applyNumberFormat="1" applyFont="1" applyAlignment="1">
      <alignment vertical="top"/>
    </xf>
    <xf numFmtId="165" fontId="25" fillId="0" borderId="0" xfId="0" applyNumberFormat="1" applyFont="1" applyAlignment="1">
      <alignment vertical="top"/>
    </xf>
    <xf numFmtId="0" fontId="24" fillId="0" borderId="0" xfId="0" applyFont="1" applyAlignment="1">
      <alignment horizontal="left" vertical="top"/>
    </xf>
    <xf numFmtId="0" fontId="29" fillId="0" borderId="1" xfId="0" applyFont="1" applyBorder="1" applyAlignment="1">
      <alignment horizontal="left" vertical="center"/>
    </xf>
    <xf numFmtId="165" fontId="30" fillId="0" borderId="1" xfId="0" applyNumberFormat="1" applyFont="1" applyBorder="1" applyAlignment="1">
      <alignment horizontal="right" vertical="center"/>
    </xf>
    <xf numFmtId="0" fontId="29" fillId="0" borderId="1" xfId="0" applyFont="1" applyBorder="1" applyAlignment="1">
      <alignment horizontal="center" vertical="center" wrapText="1"/>
    </xf>
    <xf numFmtId="0" fontId="29" fillId="0" borderId="1" xfId="0" applyFont="1" applyBorder="1" applyAlignment="1">
      <alignment horizontal="right" vertical="center"/>
    </xf>
    <xf numFmtId="165" fontId="30" fillId="0" borderId="1" xfId="0" applyNumberFormat="1" applyFont="1" applyBorder="1" applyAlignment="1" applyProtection="1">
      <alignment horizontal="right" vertical="center"/>
      <protection locked="0"/>
    </xf>
    <xf numFmtId="0" fontId="29" fillId="0" borderId="1" xfId="0" applyFont="1" applyBorder="1" applyAlignment="1">
      <alignment horizontal="left" vertical="center" wrapText="1"/>
    </xf>
    <xf numFmtId="0" fontId="26" fillId="0" borderId="0" xfId="0" applyFont="1" applyAlignment="1">
      <alignment horizontal="right" vertical="center"/>
    </xf>
    <xf numFmtId="0" fontId="26" fillId="0" borderId="0" xfId="0" applyFont="1" applyAlignment="1">
      <alignment horizontal="right" vertical="top"/>
    </xf>
    <xf numFmtId="0" fontId="41" fillId="0" borderId="0" xfId="0" applyFont="1" applyAlignment="1">
      <alignment horizontal="left" vertical="top"/>
    </xf>
    <xf numFmtId="0" fontId="42" fillId="0" borderId="0" xfId="0" applyFont="1" applyAlignment="1">
      <alignment horizontal="left" vertical="top"/>
    </xf>
    <xf numFmtId="0" fontId="41" fillId="0" borderId="0" xfId="0" applyFont="1" applyAlignment="1">
      <alignment horizontal="left" vertical="top" wrapText="1"/>
    </xf>
    <xf numFmtId="0" fontId="26" fillId="0" borderId="0" xfId="0" applyFont="1" applyAlignment="1">
      <alignment horizontal="left" vertical="top" wrapText="1"/>
    </xf>
    <xf numFmtId="0" fontId="24" fillId="0" borderId="0" xfId="0" applyFont="1" applyAlignment="1">
      <alignment horizontal="left" vertical="top" wrapText="1"/>
    </xf>
    <xf numFmtId="165" fontId="29" fillId="0" borderId="0" xfId="0" applyNumberFormat="1" applyFont="1" applyAlignment="1">
      <alignment horizontal="left" vertical="top"/>
    </xf>
    <xf numFmtId="165" fontId="25" fillId="0" borderId="0" xfId="0" applyNumberFormat="1" applyFont="1" applyAlignment="1">
      <alignment horizontal="left" vertical="top"/>
    </xf>
    <xf numFmtId="165" fontId="35" fillId="0" borderId="0" xfId="0" applyNumberFormat="1" applyFont="1" applyAlignment="1">
      <alignment horizontal="left" vertical="top"/>
    </xf>
    <xf numFmtId="0" fontId="30" fillId="0" borderId="1" xfId="0" applyFont="1" applyBorder="1" applyAlignment="1">
      <alignment horizontal="left" vertical="center" wrapText="1"/>
    </xf>
    <xf numFmtId="0" fontId="29" fillId="0" borderId="1" xfId="0" applyFont="1" applyBorder="1" applyAlignment="1">
      <alignment horizontal="center" vertical="center"/>
    </xf>
    <xf numFmtId="0" fontId="30" fillId="0" borderId="1" xfId="0" applyFont="1" applyBorder="1" applyAlignment="1">
      <alignment horizontal="center" vertical="center"/>
    </xf>
    <xf numFmtId="0" fontId="30" fillId="0" borderId="1" xfId="0" applyFont="1" applyBorder="1" applyAlignment="1">
      <alignment horizontal="left" vertical="center"/>
    </xf>
    <xf numFmtId="0" fontId="29" fillId="0" borderId="1" xfId="0" applyFont="1" applyBorder="1" applyAlignment="1">
      <alignment vertical="center"/>
    </xf>
    <xf numFmtId="0" fontId="28" fillId="0" borderId="0" xfId="0" applyFont="1" applyAlignment="1">
      <alignment horizontal="center" vertical="center"/>
    </xf>
    <xf numFmtId="165" fontId="30" fillId="0" borderId="1" xfId="0" applyNumberFormat="1" applyFont="1" applyBorder="1" applyAlignment="1">
      <alignment horizontal="center" vertical="center" wrapText="1"/>
    </xf>
    <xf numFmtId="0" fontId="40" fillId="0" borderId="0" xfId="0" applyFont="1" applyAlignment="1">
      <alignment horizontal="center" vertical="top"/>
    </xf>
    <xf numFmtId="0" fontId="30" fillId="0" borderId="1" xfId="0" applyFont="1" applyBorder="1" applyAlignment="1">
      <alignment horizontal="center" vertical="center" wrapText="1"/>
    </xf>
    <xf numFmtId="0" fontId="44" fillId="0" borderId="0" xfId="0" applyFont="1" applyAlignment="1">
      <alignment vertical="center"/>
    </xf>
    <xf numFmtId="0" fontId="0" fillId="0" borderId="2" xfId="0" applyBorder="1"/>
    <xf numFmtId="0" fontId="36" fillId="0" borderId="0" xfId="0" applyFont="1" applyAlignment="1">
      <alignment vertical="center" wrapText="1"/>
    </xf>
    <xf numFmtId="4" fontId="0" fillId="0" borderId="2" xfId="0" applyNumberFormat="1" applyBorder="1"/>
    <xf numFmtId="0" fontId="0" fillId="0" borderId="2" xfId="0" applyBorder="1" applyAlignment="1">
      <alignment wrapText="1"/>
    </xf>
    <xf numFmtId="0" fontId="45" fillId="0" borderId="2" xfId="0" applyFont="1" applyBorder="1"/>
    <xf numFmtId="0" fontId="9" fillId="0" borderId="0" xfId="0" applyFont="1" applyAlignment="1">
      <alignment horizontal="right"/>
    </xf>
    <xf numFmtId="0" fontId="5" fillId="0" borderId="2" xfId="0" applyFont="1" applyBorder="1" applyAlignment="1">
      <alignment vertical="center"/>
    </xf>
    <xf numFmtId="0" fontId="4" fillId="0" borderId="2" xfId="0" applyFont="1" applyBorder="1" applyAlignment="1">
      <alignment vertical="center" wrapText="1"/>
    </xf>
    <xf numFmtId="4" fontId="0" fillId="0" borderId="2" xfId="0" applyNumberFormat="1" applyBorder="1" applyAlignment="1">
      <alignment horizontal="right" vertical="center"/>
    </xf>
    <xf numFmtId="0" fontId="5" fillId="0" borderId="2" xfId="0" applyFont="1" applyBorder="1" applyAlignment="1">
      <alignment vertical="center" wrapText="1"/>
    </xf>
    <xf numFmtId="0" fontId="13" fillId="0" borderId="2" xfId="0" applyFont="1" applyBorder="1" applyAlignment="1">
      <alignment vertical="center" wrapText="1"/>
    </xf>
    <xf numFmtId="0" fontId="14" fillId="0" borderId="2" xfId="0" applyFont="1" applyBorder="1" applyAlignment="1">
      <alignment vertical="center" wrapText="1"/>
    </xf>
    <xf numFmtId="0" fontId="13" fillId="0" borderId="2" xfId="0" applyFont="1" applyBorder="1" applyAlignment="1">
      <alignment horizontal="center" vertical="center" wrapText="1"/>
    </xf>
    <xf numFmtId="0" fontId="46" fillId="0" borderId="2" xfId="0" applyFont="1" applyBorder="1" applyAlignment="1">
      <alignment vertical="center" wrapText="1"/>
    </xf>
    <xf numFmtId="4" fontId="46" fillId="0" borderId="2" xfId="0" applyNumberFormat="1" applyFont="1" applyBorder="1" applyAlignment="1">
      <alignment vertical="center" wrapText="1"/>
    </xf>
    <xf numFmtId="4" fontId="47" fillId="0" borderId="2" xfId="0" applyNumberFormat="1" applyFont="1" applyBorder="1" applyAlignment="1">
      <alignment vertical="center" wrapText="1"/>
    </xf>
    <xf numFmtId="4" fontId="0" fillId="0" borderId="2" xfId="0" applyNumberFormat="1" applyBorder="1" applyAlignment="1">
      <alignment vertical="center" wrapText="1"/>
    </xf>
    <xf numFmtId="4" fontId="14" fillId="0" borderId="2" xfId="0" applyNumberFormat="1" applyFont="1" applyBorder="1" applyAlignment="1">
      <alignment horizontal="right" vertical="center" wrapText="1"/>
    </xf>
    <xf numFmtId="4" fontId="13" fillId="0" borderId="8" xfId="0" applyNumberFormat="1" applyFont="1" applyBorder="1" applyAlignment="1">
      <alignment horizontal="right" vertical="center" wrapText="1"/>
    </xf>
    <xf numFmtId="0" fontId="48" fillId="0" borderId="0" xfId="0" applyFont="1"/>
    <xf numFmtId="0" fontId="49" fillId="0" borderId="0" xfId="0" applyFont="1" applyAlignment="1">
      <alignment horizontal="right"/>
    </xf>
    <xf numFmtId="0" fontId="13" fillId="0" borderId="0" xfId="0" applyFont="1" applyAlignment="1">
      <alignment vertical="center" wrapText="1"/>
    </xf>
    <xf numFmtId="0" fontId="14" fillId="0" borderId="8" xfId="0" applyFont="1" applyBorder="1" applyAlignment="1">
      <alignment vertical="center" wrapText="1"/>
    </xf>
    <xf numFmtId="4" fontId="46" fillId="0" borderId="8" xfId="0" applyNumberFormat="1" applyFont="1" applyBorder="1" applyAlignment="1">
      <alignment vertical="center" wrapText="1"/>
    </xf>
    <xf numFmtId="4" fontId="13" fillId="0" borderId="6" xfId="0" applyNumberFormat="1" applyFont="1" applyBorder="1" applyAlignment="1">
      <alignment vertical="center" wrapText="1"/>
    </xf>
    <xf numFmtId="0" fontId="13" fillId="0" borderId="6" xfId="0" applyFont="1" applyBorder="1" applyAlignment="1">
      <alignment vertical="center"/>
    </xf>
    <xf numFmtId="0" fontId="14" fillId="0" borderId="8" xfId="0" applyFont="1" applyBorder="1" applyAlignment="1">
      <alignment vertical="center"/>
    </xf>
    <xf numFmtId="4" fontId="13" fillId="0" borderId="8" xfId="0" applyNumberFormat="1" applyFont="1" applyBorder="1" applyAlignment="1">
      <alignment vertical="center" wrapText="1"/>
    </xf>
    <xf numFmtId="0" fontId="14" fillId="0" borderId="8" xfId="0" applyFont="1" applyBorder="1" applyAlignment="1">
      <alignment horizontal="left" vertical="center" wrapText="1"/>
    </xf>
    <xf numFmtId="0" fontId="13" fillId="0" borderId="7" xfId="0" applyFont="1" applyBorder="1" applyAlignment="1">
      <alignment horizontal="left" vertical="center" wrapText="1"/>
    </xf>
    <xf numFmtId="4" fontId="13" fillId="0" borderId="7" xfId="0" applyNumberFormat="1" applyFont="1" applyBorder="1" applyAlignment="1">
      <alignment horizontal="right" vertical="center" wrapText="1"/>
    </xf>
    <xf numFmtId="0" fontId="5" fillId="0" borderId="6" xfId="0" applyFont="1" applyBorder="1" applyAlignment="1">
      <alignment vertical="center"/>
    </xf>
    <xf numFmtId="4" fontId="5" fillId="0" borderId="6" xfId="0" applyNumberFormat="1" applyFont="1" applyBorder="1" applyAlignment="1">
      <alignment horizontal="right" vertical="center" wrapText="1"/>
    </xf>
    <xf numFmtId="4" fontId="5" fillId="0" borderId="8" xfId="0" applyNumberFormat="1" applyFont="1" applyBorder="1" applyAlignment="1">
      <alignment horizontal="right" vertical="center" wrapText="1"/>
    </xf>
    <xf numFmtId="0" fontId="5" fillId="0" borderId="6" xfId="0" applyFont="1" applyBorder="1" applyAlignment="1">
      <alignment vertical="center" wrapText="1"/>
    </xf>
    <xf numFmtId="0" fontId="46" fillId="0" borderId="8" xfId="0" applyFont="1" applyBorder="1" applyAlignment="1">
      <alignment vertical="center" wrapText="1"/>
    </xf>
    <xf numFmtId="0" fontId="47" fillId="0" borderId="8" xfId="0" applyFont="1" applyBorder="1" applyAlignment="1">
      <alignment vertical="center" wrapText="1"/>
    </xf>
    <xf numFmtId="4" fontId="0" fillId="0" borderId="8" xfId="0" applyNumberFormat="1" applyBorder="1" applyAlignment="1">
      <alignment vertical="center" wrapText="1"/>
    </xf>
    <xf numFmtId="4" fontId="14" fillId="0" borderId="8" xfId="0" applyNumberFormat="1" applyFont="1" applyBorder="1" applyAlignment="1">
      <alignment horizontal="right" vertical="center" wrapText="1"/>
    </xf>
    <xf numFmtId="0" fontId="7" fillId="0" borderId="0" xfId="0" applyFont="1" applyAlignment="1">
      <alignment horizontal="left" vertical="center" wrapText="1"/>
    </xf>
    <xf numFmtId="0" fontId="0" fillId="0" borderId="8" xfId="0" applyBorder="1"/>
    <xf numFmtId="4" fontId="46" fillId="0" borderId="9" xfId="0" applyNumberFormat="1" applyFont="1" applyBorder="1" applyAlignment="1">
      <alignment vertical="center" wrapText="1"/>
    </xf>
    <xf numFmtId="4" fontId="46" fillId="0" borderId="10" xfId="0" applyNumberFormat="1" applyFont="1" applyBorder="1" applyAlignment="1">
      <alignment vertical="center" wrapText="1"/>
    </xf>
    <xf numFmtId="0" fontId="14" fillId="0" borderId="10" xfId="0" applyFont="1" applyBorder="1" applyAlignment="1">
      <alignment vertical="center" wrapText="1"/>
    </xf>
    <xf numFmtId="0" fontId="34" fillId="0" borderId="0" xfId="0" applyFont="1"/>
    <xf numFmtId="0" fontId="5" fillId="0" borderId="0" xfId="0" applyFont="1" applyAlignment="1">
      <alignment horizontal="center"/>
    </xf>
    <xf numFmtId="0" fontId="50" fillId="0" borderId="0" xfId="0" applyFont="1" applyAlignment="1">
      <alignment vertical="top" wrapText="1"/>
    </xf>
    <xf numFmtId="0" fontId="6" fillId="0" borderId="10" xfId="0" applyFont="1" applyBorder="1" applyAlignment="1">
      <alignment horizontal="center" vertical="center" wrapText="1"/>
    </xf>
    <xf numFmtId="4" fontId="14" fillId="0" borderId="10" xfId="0" applyNumberFormat="1" applyFont="1" applyBorder="1" applyAlignment="1">
      <alignment vertical="center" wrapText="1"/>
    </xf>
    <xf numFmtId="4" fontId="14" fillId="0" borderId="10" xfId="0" applyNumberFormat="1" applyFont="1" applyBorder="1" applyAlignment="1">
      <alignment horizontal="center" vertical="center" wrapText="1"/>
    </xf>
    <xf numFmtId="4" fontId="0" fillId="0" borderId="10" xfId="0" applyNumberFormat="1" applyBorder="1" applyAlignment="1">
      <alignment vertical="center"/>
    </xf>
    <xf numFmtId="4" fontId="13" fillId="0" borderId="10" xfId="0" applyNumberFormat="1" applyFont="1" applyBorder="1" applyAlignment="1">
      <alignment vertical="center" wrapText="1"/>
    </xf>
    <xf numFmtId="4" fontId="13" fillId="0" borderId="10" xfId="0" applyNumberFormat="1" applyFont="1" applyBorder="1" applyAlignment="1">
      <alignment horizontal="center" vertical="center" wrapText="1"/>
    </xf>
    <xf numFmtId="0" fontId="14" fillId="0" borderId="10" xfId="0" applyFont="1" applyBorder="1" applyAlignment="1">
      <alignment horizontal="left" vertical="center" wrapText="1"/>
    </xf>
    <xf numFmtId="0" fontId="13" fillId="0" borderId="10" xfId="0" applyFont="1" applyBorder="1" applyAlignment="1">
      <alignment vertical="center" wrapText="1"/>
    </xf>
    <xf numFmtId="4" fontId="0" fillId="0" borderId="10" xfId="0" applyNumberFormat="1" applyBorder="1" applyAlignment="1">
      <alignment horizontal="right" vertical="center"/>
    </xf>
    <xf numFmtId="4" fontId="0" fillId="0" borderId="10" xfId="0" applyNumberFormat="1" applyBorder="1" applyAlignment="1">
      <alignment horizontal="center" vertical="center"/>
    </xf>
    <xf numFmtId="4" fontId="14" fillId="0" borderId="0" xfId="0" applyNumberFormat="1" applyFont="1" applyAlignment="1">
      <alignment vertical="center" wrapText="1"/>
    </xf>
    <xf numFmtId="4" fontId="14" fillId="0" borderId="0" xfId="0" applyNumberFormat="1" applyFont="1" applyAlignment="1">
      <alignment horizontal="center" vertical="center" wrapText="1"/>
    </xf>
    <xf numFmtId="0" fontId="14" fillId="0" borderId="11" xfId="0" applyFont="1" applyBorder="1" applyAlignment="1">
      <alignment vertical="center" wrapText="1"/>
    </xf>
    <xf numFmtId="4" fontId="14" fillId="0" borderId="11" xfId="0" applyNumberFormat="1" applyFont="1" applyBorder="1" applyAlignment="1">
      <alignment vertical="center" wrapText="1"/>
    </xf>
    <xf numFmtId="4" fontId="14" fillId="0" borderId="2" xfId="0" applyNumberFormat="1" applyFont="1" applyBorder="1" applyAlignment="1">
      <alignment vertical="center" wrapText="1"/>
    </xf>
    <xf numFmtId="4" fontId="1" fillId="0" borderId="10" xfId="0" applyNumberFormat="1" applyFont="1" applyBorder="1" applyAlignment="1">
      <alignment horizontal="center" vertical="center"/>
    </xf>
    <xf numFmtId="4" fontId="1" fillId="0" borderId="0" xfId="0" applyNumberFormat="1" applyFont="1" applyAlignment="1">
      <alignment horizontal="center" vertical="center"/>
    </xf>
    <xf numFmtId="0" fontId="3" fillId="0" borderId="11" xfId="0" applyFont="1" applyBorder="1" applyAlignment="1">
      <alignment horizontal="left" vertical="center" wrapText="1"/>
    </xf>
    <xf numFmtId="4" fontId="3" fillId="0" borderId="11" xfId="0" applyNumberFormat="1" applyFont="1" applyBorder="1" applyAlignment="1">
      <alignment horizontal="right" vertical="center" wrapText="1"/>
    </xf>
    <xf numFmtId="4" fontId="13" fillId="0" borderId="11" xfId="0" applyNumberFormat="1" applyFont="1" applyBorder="1" applyAlignment="1">
      <alignment horizontal="center" vertical="center" wrapText="1"/>
    </xf>
    <xf numFmtId="4" fontId="5" fillId="0" borderId="11" xfId="0" applyNumberFormat="1" applyFont="1" applyBorder="1" applyAlignment="1">
      <alignment horizontal="center" vertical="center"/>
    </xf>
    <xf numFmtId="0" fontId="15" fillId="0" borderId="12" xfId="0" applyFont="1" applyBorder="1" applyAlignment="1">
      <alignment horizontal="left" vertical="center" wrapText="1"/>
    </xf>
    <xf numFmtId="4" fontId="3" fillId="0" borderId="12" xfId="0" applyNumberFormat="1" applyFont="1" applyBorder="1" applyAlignment="1">
      <alignment horizontal="right" vertical="center" wrapText="1"/>
    </xf>
    <xf numFmtId="4" fontId="13" fillId="0" borderId="12" xfId="0" applyNumberFormat="1" applyFont="1" applyBorder="1" applyAlignment="1">
      <alignment horizontal="center" vertical="center" wrapText="1"/>
    </xf>
    <xf numFmtId="4" fontId="5" fillId="0" borderId="12" xfId="0" applyNumberFormat="1" applyFont="1" applyBorder="1" applyAlignment="1">
      <alignment horizontal="center" vertical="center"/>
    </xf>
    <xf numFmtId="0" fontId="13" fillId="0" borderId="11" xfId="0" applyFont="1" applyBorder="1" applyAlignment="1">
      <alignment vertical="center" wrapText="1"/>
    </xf>
    <xf numFmtId="4" fontId="13" fillId="0" borderId="11" xfId="0" applyNumberFormat="1" applyFont="1" applyBorder="1" applyAlignment="1">
      <alignment vertical="center" wrapText="1"/>
    </xf>
    <xf numFmtId="0" fontId="14" fillId="0" borderId="12" xfId="0" applyFont="1" applyBorder="1" applyAlignment="1">
      <alignment vertical="center" wrapText="1"/>
    </xf>
    <xf numFmtId="4" fontId="13" fillId="0" borderId="12" xfId="0" applyNumberFormat="1" applyFont="1" applyBorder="1" applyAlignment="1">
      <alignment vertical="center" wrapText="1"/>
    </xf>
    <xf numFmtId="4" fontId="3" fillId="0" borderId="11" xfId="0" applyNumberFormat="1" applyFont="1" applyBorder="1" applyAlignment="1">
      <alignment horizontal="center" vertical="center" wrapText="1"/>
    </xf>
    <xf numFmtId="4" fontId="3" fillId="0" borderId="12" xfId="0" applyNumberFormat="1" applyFont="1" applyBorder="1" applyAlignment="1">
      <alignment horizontal="center" vertical="center" wrapText="1"/>
    </xf>
    <xf numFmtId="0" fontId="3" fillId="0" borderId="10" xfId="0" applyFont="1" applyBorder="1" applyAlignment="1">
      <alignment vertical="center" wrapText="1"/>
    </xf>
    <xf numFmtId="4" fontId="5" fillId="0" borderId="10" xfId="0" applyNumberFormat="1" applyFont="1" applyBorder="1" applyAlignment="1">
      <alignment vertical="center"/>
    </xf>
    <xf numFmtId="0" fontId="51" fillId="0" borderId="10" xfId="0" applyFont="1" applyBorder="1" applyAlignment="1">
      <alignment vertical="center" wrapText="1"/>
    </xf>
    <xf numFmtId="0" fontId="14" fillId="0" borderId="6" xfId="0" applyFont="1" applyBorder="1" applyAlignment="1">
      <alignment vertical="center" wrapText="1"/>
    </xf>
    <xf numFmtId="4" fontId="0" fillId="0" borderId="11" xfId="0" applyNumberFormat="1" applyBorder="1" applyAlignment="1">
      <alignment vertical="center"/>
    </xf>
    <xf numFmtId="4" fontId="1" fillId="0" borderId="10" xfId="0" applyNumberFormat="1" applyFont="1" applyBorder="1" applyAlignment="1">
      <alignment vertical="center"/>
    </xf>
    <xf numFmtId="4" fontId="0" fillId="0" borderId="2" xfId="0" applyNumberFormat="1" applyBorder="1" applyAlignment="1">
      <alignment vertical="center"/>
    </xf>
    <xf numFmtId="0" fontId="47" fillId="0" borderId="2" xfId="0" applyFont="1" applyBorder="1" applyAlignment="1">
      <alignment vertical="center" wrapText="1"/>
    </xf>
    <xf numFmtId="0" fontId="55" fillId="0" borderId="2" xfId="0" applyFont="1" applyBorder="1" applyAlignment="1">
      <alignment vertical="center" wrapText="1"/>
    </xf>
    <xf numFmtId="0" fontId="55" fillId="0" borderId="2" xfId="0" applyFont="1" applyBorder="1" applyAlignment="1">
      <alignment horizontal="left" vertical="center" wrapText="1"/>
    </xf>
    <xf numFmtId="0" fontId="5" fillId="0" borderId="2" xfId="0" applyFont="1" applyBorder="1" applyAlignment="1">
      <alignment horizontal="center" vertical="center"/>
    </xf>
    <xf numFmtId="4" fontId="5" fillId="0" borderId="2" xfId="0" applyNumberFormat="1" applyFont="1" applyBorder="1" applyAlignment="1">
      <alignment vertical="center"/>
    </xf>
    <xf numFmtId="0" fontId="0" fillId="0" borderId="2" xfId="0" applyBorder="1" applyAlignment="1">
      <alignment vertical="center"/>
    </xf>
    <xf numFmtId="0" fontId="45" fillId="0" borderId="2" xfId="0" applyFont="1" applyBorder="1" applyAlignment="1">
      <alignment vertical="center" wrapText="1"/>
    </xf>
    <xf numFmtId="4" fontId="0" fillId="0" borderId="2" xfId="0" applyNumberFormat="1" applyBorder="1" applyAlignment="1">
      <alignment wrapText="1"/>
    </xf>
    <xf numFmtId="0" fontId="54" fillId="0" borderId="0" xfId="0" applyFont="1" applyAlignment="1">
      <alignment vertical="center"/>
    </xf>
    <xf numFmtId="0" fontId="50" fillId="0" borderId="0" xfId="0" applyFont="1"/>
    <xf numFmtId="0" fontId="24" fillId="0" borderId="0" xfId="0" applyFont="1" applyAlignment="1">
      <alignment vertical="top"/>
    </xf>
    <xf numFmtId="0" fontId="34" fillId="0" borderId="0" xfId="0" applyFont="1" applyAlignment="1">
      <alignment horizontal="center" vertical="center"/>
    </xf>
    <xf numFmtId="0" fontId="57" fillId="0" borderId="0" xfId="0" applyFont="1"/>
    <xf numFmtId="0" fontId="58" fillId="0" borderId="0" xfId="0" applyFont="1"/>
    <xf numFmtId="0" fontId="59" fillId="0" borderId="0" xfId="0" applyFont="1"/>
    <xf numFmtId="0" fontId="60" fillId="0" borderId="0" xfId="0" applyFont="1"/>
    <xf numFmtId="0" fontId="44" fillId="0" borderId="0" xfId="0" applyFont="1" applyAlignment="1">
      <alignment horizontal="center"/>
    </xf>
    <xf numFmtId="0" fontId="44" fillId="0" borderId="0" xfId="0" applyFont="1"/>
    <xf numFmtId="0" fontId="18" fillId="0" borderId="0" xfId="0" applyFont="1"/>
    <xf numFmtId="0" fontId="20" fillId="0" borderId="0" xfId="0" applyFont="1"/>
    <xf numFmtId="0" fontId="61" fillId="0" borderId="0" xfId="0" applyFont="1"/>
    <xf numFmtId="0" fontId="62" fillId="0" borderId="0" xfId="0" applyFont="1"/>
    <xf numFmtId="14" fontId="63" fillId="0" borderId="0" xfId="0" applyNumberFormat="1" applyFont="1"/>
    <xf numFmtId="0" fontId="64" fillId="0" borderId="0" xfId="0" applyFont="1" applyAlignment="1">
      <alignment vertical="top"/>
    </xf>
    <xf numFmtId="0" fontId="65" fillId="0" borderId="0" xfId="0" applyFont="1"/>
    <xf numFmtId="0" fontId="66" fillId="0" borderId="0" xfId="0" applyFont="1" applyAlignment="1">
      <alignment horizontal="center" vertical="center"/>
    </xf>
    <xf numFmtId="0" fontId="59" fillId="0" borderId="0" xfId="0" applyFont="1" applyAlignment="1">
      <alignment vertical="center"/>
    </xf>
    <xf numFmtId="165" fontId="35" fillId="0" borderId="0" xfId="0" applyNumberFormat="1" applyFont="1" applyAlignment="1">
      <alignment horizontal="center" vertical="top"/>
    </xf>
    <xf numFmtId="0" fontId="26" fillId="0" borderId="13" xfId="0" applyFont="1" applyBorder="1" applyAlignment="1">
      <alignment horizontal="left" vertical="top"/>
    </xf>
    <xf numFmtId="0" fontId="24" fillId="0" borderId="13" xfId="0" applyFont="1" applyBorder="1" applyAlignment="1">
      <alignment horizontal="left" vertical="top"/>
    </xf>
    <xf numFmtId="0" fontId="24" fillId="0" borderId="13" xfId="0" applyFont="1" applyBorder="1" applyAlignment="1">
      <alignment horizontal="center" vertical="center"/>
    </xf>
    <xf numFmtId="0" fontId="52" fillId="0" borderId="13" xfId="0" applyFont="1" applyBorder="1" applyAlignment="1">
      <alignment horizontal="center" vertical="center"/>
    </xf>
    <xf numFmtId="0" fontId="31" fillId="0" borderId="13" xfId="0" applyFont="1" applyBorder="1" applyAlignment="1">
      <alignment horizontal="right" vertical="top"/>
    </xf>
    <xf numFmtId="0" fontId="27" fillId="0" borderId="13" xfId="0" applyFont="1" applyBorder="1" applyAlignment="1">
      <alignment horizontal="left" vertical="top"/>
    </xf>
    <xf numFmtId="165" fontId="27" fillId="0" borderId="13" xfId="0" applyNumberFormat="1" applyFont="1" applyBorder="1" applyAlignment="1">
      <alignment horizontal="center" vertical="center"/>
    </xf>
    <xf numFmtId="165" fontId="52" fillId="0" borderId="13" xfId="0" applyNumberFormat="1" applyFont="1" applyBorder="1" applyAlignment="1">
      <alignment horizontal="center" vertical="center"/>
    </xf>
    <xf numFmtId="0" fontId="66" fillId="0" borderId="0" xfId="0" applyFont="1"/>
    <xf numFmtId="0" fontId="66" fillId="0" borderId="0" xfId="0" applyFont="1" applyAlignment="1">
      <alignment vertical="center"/>
    </xf>
    <xf numFmtId="0" fontId="5" fillId="0" borderId="0" xfId="0" applyFont="1" applyAlignment="1">
      <alignment vertical="center"/>
    </xf>
    <xf numFmtId="0" fontId="68" fillId="0" borderId="0" xfId="0" applyFont="1" applyAlignment="1">
      <alignment horizontal="center" vertical="top"/>
    </xf>
    <xf numFmtId="0" fontId="17" fillId="0" borderId="0" xfId="0" applyFont="1" applyAlignment="1">
      <alignment horizontal="center" vertical="top"/>
    </xf>
    <xf numFmtId="4" fontId="5" fillId="0" borderId="2" xfId="0" applyNumberFormat="1" applyFont="1" applyBorder="1"/>
    <xf numFmtId="4" fontId="14" fillId="0" borderId="11" xfId="0" applyNumberFormat="1" applyFont="1" applyBorder="1" applyAlignment="1">
      <alignment horizontal="center" vertical="center" wrapText="1"/>
    </xf>
    <xf numFmtId="14" fontId="57" fillId="0" borderId="0" xfId="0" applyNumberFormat="1" applyFont="1"/>
    <xf numFmtId="2" fontId="0" fillId="0" borderId="2" xfId="0" applyNumberFormat="1" applyBorder="1" applyAlignment="1">
      <alignment vertical="center" wrapText="1"/>
    </xf>
    <xf numFmtId="0" fontId="71" fillId="0" borderId="8" xfId="0" applyFont="1" applyBorder="1" applyAlignment="1">
      <alignment horizontal="center" vertical="center" wrapText="1"/>
    </xf>
    <xf numFmtId="4" fontId="14" fillId="0" borderId="14" xfId="0" applyNumberFormat="1" applyFont="1" applyBorder="1" applyAlignment="1">
      <alignment vertical="center" wrapText="1"/>
    </xf>
    <xf numFmtId="4" fontId="0" fillId="0" borderId="11" xfId="0" applyNumberFormat="1" applyBorder="1" applyAlignment="1">
      <alignment horizontal="right" vertical="center"/>
    </xf>
    <xf numFmtId="4" fontId="13" fillId="0" borderId="2" xfId="0" applyNumberFormat="1" applyFont="1" applyBorder="1" applyAlignment="1">
      <alignment horizontal="center" vertical="center" wrapText="1"/>
    </xf>
    <xf numFmtId="4" fontId="5" fillId="0" borderId="2" xfId="0" applyNumberFormat="1" applyFont="1" applyBorder="1" applyAlignment="1">
      <alignment horizontal="center" vertical="center"/>
    </xf>
    <xf numFmtId="4" fontId="0" fillId="0" borderId="11" xfId="0" applyNumberFormat="1" applyBorder="1" applyAlignment="1">
      <alignment horizontal="center" vertical="center"/>
    </xf>
    <xf numFmtId="0" fontId="72" fillId="0" borderId="9" xfId="0" applyFont="1" applyBorder="1" applyAlignment="1">
      <alignment vertical="center" wrapText="1"/>
    </xf>
    <xf numFmtId="0" fontId="72" fillId="0" borderId="10" xfId="0" applyFont="1" applyBorder="1" applyAlignment="1">
      <alignment vertical="center" wrapText="1"/>
    </xf>
    <xf numFmtId="0" fontId="4" fillId="0" borderId="10" xfId="0" applyFont="1" applyBorder="1" applyAlignment="1">
      <alignment vertical="center" wrapText="1"/>
    </xf>
    <xf numFmtId="0" fontId="73" fillId="0" borderId="2" xfId="0" applyFont="1" applyBorder="1" applyAlignment="1">
      <alignment vertical="center" wrapText="1"/>
    </xf>
    <xf numFmtId="0" fontId="74" fillId="0" borderId="0" xfId="0" applyFont="1"/>
    <xf numFmtId="0" fontId="75" fillId="0" borderId="6" xfId="0" applyFont="1" applyBorder="1" applyAlignment="1">
      <alignment vertical="center" wrapText="1"/>
    </xf>
    <xf numFmtId="0" fontId="0" fillId="0" borderId="8" xfId="0" applyBorder="1" applyAlignment="1">
      <alignment vertical="center"/>
    </xf>
    <xf numFmtId="2" fontId="0" fillId="0" borderId="10" xfId="0" applyNumberFormat="1" applyBorder="1" applyAlignment="1">
      <alignment vertical="center"/>
    </xf>
    <xf numFmtId="4" fontId="14" fillId="0" borderId="2" xfId="0" applyNumberFormat="1" applyFont="1" applyBorder="1" applyAlignment="1">
      <alignment horizontal="center" vertical="center" wrapText="1"/>
    </xf>
    <xf numFmtId="0" fontId="76" fillId="0" borderId="0" xfId="0" applyFont="1"/>
    <xf numFmtId="0" fontId="18" fillId="0" borderId="0" xfId="0" applyFont="1" applyAlignment="1">
      <alignment horizontal="left"/>
    </xf>
    <xf numFmtId="4" fontId="21" fillId="0" borderId="10" xfId="0" applyNumberFormat="1" applyFont="1" applyBorder="1" applyAlignment="1">
      <alignment vertical="center" wrapText="1"/>
    </xf>
    <xf numFmtId="165" fontId="39" fillId="0" borderId="1" xfId="0" applyNumberFormat="1" applyFont="1" applyBorder="1" applyAlignment="1">
      <alignment horizontal="right" vertical="center"/>
    </xf>
    <xf numFmtId="2" fontId="0" fillId="0" borderId="9" xfId="0" applyNumberFormat="1" applyBorder="1" applyAlignment="1">
      <alignment vertical="center"/>
    </xf>
    <xf numFmtId="2" fontId="0" fillId="0" borderId="10" xfId="0" applyNumberFormat="1" applyBorder="1" applyAlignment="1">
      <alignment vertical="center" wrapText="1"/>
    </xf>
    <xf numFmtId="4" fontId="0" fillId="0" borderId="2" xfId="0" applyNumberFormat="1" applyBorder="1" applyAlignment="1">
      <alignment horizontal="center" vertical="center"/>
    </xf>
    <xf numFmtId="4" fontId="5" fillId="0" borderId="2" xfId="0" applyNumberFormat="1" applyFont="1" applyBorder="1" applyAlignment="1">
      <alignment vertical="center" wrapText="1"/>
    </xf>
    <xf numFmtId="4" fontId="5" fillId="0" borderId="8" xfId="0" applyNumberFormat="1" applyFont="1" applyBorder="1" applyAlignment="1">
      <alignment horizontal="center" vertical="center" wrapText="1"/>
    </xf>
    <xf numFmtId="0" fontId="77" fillId="0" borderId="8" xfId="0" applyFont="1" applyBorder="1" applyAlignment="1">
      <alignment horizontal="center" vertical="center" wrapText="1"/>
    </xf>
    <xf numFmtId="0" fontId="77" fillId="0" borderId="8" xfId="0" applyFont="1" applyBorder="1" applyAlignment="1">
      <alignment horizontal="center" vertical="center"/>
    </xf>
    <xf numFmtId="0" fontId="71" fillId="0" borderId="0" xfId="0" applyFont="1" applyAlignment="1">
      <alignment horizontal="center" vertical="center" wrapText="1"/>
    </xf>
    <xf numFmtId="4" fontId="5" fillId="0" borderId="0" xfId="0" applyNumberFormat="1" applyFont="1" applyAlignment="1">
      <alignment vertical="center" wrapText="1"/>
    </xf>
    <xf numFmtId="4" fontId="5" fillId="0" borderId="0" xfId="0" applyNumberFormat="1" applyFont="1" applyAlignment="1">
      <alignment horizontal="center" vertical="center" wrapText="1"/>
    </xf>
    <xf numFmtId="0" fontId="71" fillId="0" borderId="0" xfId="0" applyFont="1"/>
    <xf numFmtId="0" fontId="71" fillId="0" borderId="2" xfId="0" applyFont="1" applyBorder="1" applyAlignment="1">
      <alignment horizontal="center" vertical="center" wrapText="1"/>
    </xf>
    <xf numFmtId="4" fontId="5" fillId="0" borderId="2" xfId="0" applyNumberFormat="1" applyFont="1" applyBorder="1" applyAlignment="1">
      <alignment horizontal="center" vertical="center" wrapText="1"/>
    </xf>
    <xf numFmtId="0" fontId="5" fillId="0" borderId="0" xfId="0" applyFont="1" applyAlignment="1">
      <alignment horizontal="left" vertical="center" wrapText="1"/>
    </xf>
    <xf numFmtId="0" fontId="58" fillId="0" borderId="0" xfId="0" applyFont="1" applyAlignment="1">
      <alignment horizontal="center" vertical="top"/>
    </xf>
    <xf numFmtId="0" fontId="44" fillId="0" borderId="0" xfId="0" applyFont="1" applyAlignment="1">
      <alignment horizontal="center" vertical="center"/>
    </xf>
    <xf numFmtId="0" fontId="66" fillId="0" borderId="0" xfId="0" applyFont="1" applyAlignment="1">
      <alignment horizontal="left" wrapText="1"/>
    </xf>
    <xf numFmtId="0" fontId="24" fillId="0" borderId="0" xfId="0" applyFont="1" applyAlignment="1">
      <alignment horizontal="center" vertical="top"/>
    </xf>
    <xf numFmtId="0" fontId="26" fillId="0" borderId="0" xfId="0" applyFont="1" applyAlignment="1">
      <alignment horizontal="center" vertical="top"/>
    </xf>
    <xf numFmtId="0" fontId="37" fillId="0" borderId="0" xfId="0" applyFont="1" applyAlignment="1">
      <alignment horizontal="left" vertical="top" wrapText="1"/>
    </xf>
    <xf numFmtId="0" fontId="30" fillId="0" borderId="0" xfId="0" applyFont="1" applyAlignment="1">
      <alignment horizontal="left" vertical="center" wrapText="1"/>
    </xf>
    <xf numFmtId="0" fontId="30" fillId="0" borderId="0" xfId="0" applyFont="1" applyAlignment="1">
      <alignment horizontal="left" vertical="center"/>
    </xf>
    <xf numFmtId="0" fontId="5" fillId="0" borderId="0" xfId="0" applyFont="1" applyAlignment="1">
      <alignment horizontal="center" vertical="center"/>
    </xf>
    <xf numFmtId="0" fontId="34" fillId="0" borderId="0" xfId="0" applyFont="1" applyAlignment="1">
      <alignment horizontal="center"/>
    </xf>
    <xf numFmtId="0" fontId="13" fillId="0" borderId="6" xfId="0" applyFont="1" applyBorder="1" applyAlignment="1">
      <alignment vertical="center" wrapText="1"/>
    </xf>
    <xf numFmtId="0" fontId="13" fillId="0" borderId="8" xfId="0" applyFont="1" applyBorder="1" applyAlignment="1">
      <alignment horizontal="left" vertical="center" wrapText="1"/>
    </xf>
    <xf numFmtId="0" fontId="3" fillId="0" borderId="10" xfId="0" applyFont="1" applyBorder="1" applyAlignment="1">
      <alignment horizontal="center" vertical="center" wrapText="1"/>
    </xf>
    <xf numFmtId="0" fontId="20" fillId="0" borderId="0" xfId="0" applyFont="1" applyAlignment="1">
      <alignment vertical="center"/>
    </xf>
    <xf numFmtId="0" fontId="54" fillId="0" borderId="2" xfId="0" applyFont="1" applyBorder="1" applyAlignment="1">
      <alignment horizontal="center" vertical="center" wrapText="1"/>
    </xf>
    <xf numFmtId="0" fontId="3" fillId="0" borderId="0" xfId="0" applyFont="1" applyAlignment="1">
      <alignment horizontal="left" vertical="center" wrapText="1"/>
    </xf>
    <xf numFmtId="0" fontId="1" fillId="0" borderId="8" xfId="0" applyFont="1" applyBorder="1" applyAlignment="1">
      <alignment vertical="center"/>
    </xf>
    <xf numFmtId="0" fontId="58" fillId="0" borderId="0" xfId="0" applyFont="1" applyAlignment="1">
      <alignment horizontal="center" vertical="top"/>
    </xf>
    <xf numFmtId="0" fontId="44" fillId="0" borderId="0" xfId="0" applyFont="1" applyAlignment="1">
      <alignment horizontal="center" vertical="center"/>
    </xf>
    <xf numFmtId="0" fontId="59" fillId="0" borderId="0" xfId="0" applyFont="1" applyAlignment="1">
      <alignment horizontal="left" vertical="center" wrapText="1"/>
    </xf>
    <xf numFmtId="0" fontId="66" fillId="0" borderId="0" xfId="0" applyFont="1" applyAlignment="1">
      <alignment horizontal="left" wrapText="1"/>
    </xf>
    <xf numFmtId="0" fontId="59" fillId="0" borderId="0" xfId="0" applyFont="1" applyAlignment="1">
      <alignment horizontal="left" wrapText="1"/>
    </xf>
    <xf numFmtId="0" fontId="18" fillId="0" borderId="0" xfId="0" applyFont="1" applyAlignment="1">
      <alignment horizontal="left" vertical="center"/>
    </xf>
    <xf numFmtId="0" fontId="20" fillId="0" borderId="0" xfId="0" applyFont="1" applyAlignment="1">
      <alignment horizontal="left" vertical="center" wrapText="1"/>
    </xf>
    <xf numFmtId="0" fontId="24" fillId="0" borderId="0" xfId="0" applyFont="1" applyAlignment="1">
      <alignment horizontal="center" vertical="top"/>
    </xf>
    <xf numFmtId="0" fontId="26" fillId="0" borderId="0" xfId="0" applyFont="1" applyAlignment="1">
      <alignment horizontal="center" vertical="top"/>
    </xf>
    <xf numFmtId="0" fontId="25" fillId="0" borderId="0" xfId="0" applyFont="1" applyAlignment="1">
      <alignment horizontal="center" vertical="center"/>
    </xf>
    <xf numFmtId="0" fontId="30" fillId="0" borderId="1" xfId="0" applyFont="1" applyBorder="1" applyAlignment="1">
      <alignment horizontal="center" vertical="center"/>
    </xf>
    <xf numFmtId="0" fontId="28" fillId="0" borderId="0" xfId="0" applyFont="1" applyAlignment="1">
      <alignment horizontal="left" vertical="center"/>
    </xf>
    <xf numFmtId="165" fontId="29" fillId="0" borderId="0" xfId="0" applyNumberFormat="1" applyFont="1" applyAlignment="1">
      <alignment horizontal="center" vertical="top"/>
    </xf>
    <xf numFmtId="0" fontId="37" fillId="0" borderId="0" xfId="0" applyFont="1" applyAlignment="1">
      <alignment horizontal="left" vertical="top" wrapText="1"/>
    </xf>
    <xf numFmtId="0" fontId="38" fillId="0" borderId="0" xfId="0" applyFont="1" applyAlignment="1">
      <alignment horizontal="center" vertical="top"/>
    </xf>
    <xf numFmtId="0" fontId="34" fillId="0" borderId="0" xfId="0" applyFont="1" applyAlignment="1">
      <alignment horizontal="center" vertical="top"/>
    </xf>
    <xf numFmtId="0" fontId="29" fillId="0" borderId="1" xfId="0" applyFont="1" applyBorder="1" applyAlignment="1">
      <alignment horizontal="center" vertical="center"/>
    </xf>
    <xf numFmtId="165" fontId="35" fillId="0" borderId="0" xfId="0" applyNumberFormat="1" applyFont="1" applyAlignment="1">
      <alignment horizontal="left" vertical="top"/>
    </xf>
    <xf numFmtId="0" fontId="43" fillId="0" borderId="0" xfId="0" applyFont="1" applyAlignment="1">
      <alignment horizontal="center" vertical="center"/>
    </xf>
    <xf numFmtId="0" fontId="26" fillId="0" borderId="0" xfId="0" applyFont="1" applyAlignment="1">
      <alignment horizontal="center" vertical="center"/>
    </xf>
    <xf numFmtId="0" fontId="30" fillId="0" borderId="0" xfId="0" applyFont="1" applyAlignment="1">
      <alignment horizontal="left" vertical="center" wrapText="1"/>
    </xf>
    <xf numFmtId="0" fontId="45" fillId="0" borderId="6" xfId="0" applyFont="1" applyBorder="1" applyAlignment="1">
      <alignment horizontal="center" vertical="center"/>
    </xf>
    <xf numFmtId="0" fontId="45" fillId="0" borderId="7" xfId="0" applyFont="1" applyBorder="1" applyAlignment="1">
      <alignment horizontal="center" vertical="center"/>
    </xf>
    <xf numFmtId="0" fontId="45" fillId="0" borderId="8" xfId="0" applyFont="1" applyBorder="1" applyAlignment="1">
      <alignment horizontal="center" vertical="center"/>
    </xf>
    <xf numFmtId="0" fontId="45" fillId="0" borderId="3" xfId="0" applyFont="1" applyBorder="1" applyAlignment="1">
      <alignment horizontal="center"/>
    </xf>
    <xf numFmtId="0" fontId="45" fillId="0" borderId="4" xfId="0" applyFont="1" applyBorder="1" applyAlignment="1">
      <alignment horizontal="center"/>
    </xf>
    <xf numFmtId="0" fontId="45" fillId="0" borderId="5" xfId="0" applyFont="1" applyBorder="1" applyAlignment="1">
      <alignment horizontal="center"/>
    </xf>
    <xf numFmtId="0" fontId="45" fillId="0" borderId="3" xfId="0" applyFont="1" applyBorder="1" applyAlignment="1">
      <alignment horizontal="center" wrapText="1"/>
    </xf>
    <xf numFmtId="0" fontId="45" fillId="0" borderId="5" xfId="0" applyFont="1" applyBorder="1" applyAlignment="1">
      <alignment horizontal="center" wrapText="1"/>
    </xf>
    <xf numFmtId="0" fontId="56" fillId="0" borderId="0" xfId="0" applyFont="1" applyAlignment="1">
      <alignment horizontal="center" vertical="top"/>
    </xf>
    <xf numFmtId="0" fontId="13" fillId="0" borderId="0" xfId="0" applyFont="1" applyAlignment="1">
      <alignment horizontal="center" vertical="center" wrapText="1"/>
    </xf>
    <xf numFmtId="0" fontId="30" fillId="0" borderId="0" xfId="0" applyFont="1" applyAlignment="1">
      <alignment horizontal="left" vertical="center"/>
    </xf>
    <xf numFmtId="0" fontId="5" fillId="0" borderId="0" xfId="0" applyFont="1" applyAlignment="1">
      <alignment horizontal="center" vertical="center"/>
    </xf>
    <xf numFmtId="0" fontId="36" fillId="0" borderId="0" xfId="0" applyFont="1" applyAlignment="1">
      <alignment horizontal="left"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34" fillId="0" borderId="0" xfId="0" applyFont="1" applyAlignment="1">
      <alignment horizontal="center"/>
    </xf>
    <xf numFmtId="0" fontId="13" fillId="0" borderId="6"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6" xfId="0" applyFont="1" applyBorder="1" applyAlignment="1">
      <alignment vertical="center" wrapText="1"/>
    </xf>
    <xf numFmtId="0" fontId="13" fillId="0" borderId="8" xfId="0" applyFont="1" applyBorder="1" applyAlignment="1">
      <alignment vertical="center" wrapText="1"/>
    </xf>
    <xf numFmtId="0" fontId="13" fillId="0" borderId="6" xfId="0" applyFont="1" applyBorder="1" applyAlignment="1">
      <alignment horizontal="left" vertical="center" wrapText="1"/>
    </xf>
    <xf numFmtId="0" fontId="13" fillId="0" borderId="8" xfId="0" applyFont="1" applyBorder="1" applyAlignment="1">
      <alignment horizontal="left" vertical="center" wrapText="1"/>
    </xf>
    <xf numFmtId="0" fontId="5" fillId="0" borderId="3" xfId="0" applyFont="1" applyBorder="1" applyAlignment="1">
      <alignment horizontal="center"/>
    </xf>
    <xf numFmtId="0" fontId="5" fillId="0" borderId="5" xfId="0" applyFont="1" applyBorder="1" applyAlignment="1">
      <alignment horizontal="center"/>
    </xf>
    <xf numFmtId="0" fontId="30" fillId="0" borderId="0" xfId="0" applyFont="1" applyAlignment="1">
      <alignment horizontal="left" vertical="top" wrapText="1"/>
    </xf>
    <xf numFmtId="0" fontId="3" fillId="0" borderId="10" xfId="0" applyFont="1" applyBorder="1" applyAlignment="1">
      <alignment horizontal="center" vertical="center" wrapText="1"/>
    </xf>
    <xf numFmtId="0" fontId="20" fillId="0" borderId="0" xfId="0" applyFont="1" applyAlignment="1">
      <alignment vertical="center"/>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5" fillId="0" borderId="10" xfId="0" applyFont="1" applyBorder="1" applyAlignment="1">
      <alignment horizontal="center" vertical="center"/>
    </xf>
    <xf numFmtId="0" fontId="54" fillId="0" borderId="2" xfId="0" applyFont="1" applyBorder="1" applyAlignment="1">
      <alignment horizontal="center" vertical="center" wrapText="1"/>
    </xf>
    <xf numFmtId="0" fontId="45" fillId="0" borderId="2" xfId="0" applyFont="1" applyBorder="1" applyAlignment="1">
      <alignment horizontal="center" vertical="center"/>
    </xf>
    <xf numFmtId="0" fontId="36" fillId="0" borderId="0" xfId="0" applyFont="1" applyAlignment="1">
      <alignment horizontal="left" vertical="center" wrapText="1"/>
    </xf>
    <xf numFmtId="0" fontId="22" fillId="0" borderId="0" xfId="0" applyFont="1" applyAlignment="1">
      <alignment horizontal="left"/>
    </xf>
    <xf numFmtId="0" fontId="0" fillId="0" borderId="3" xfId="0" applyBorder="1" applyAlignment="1">
      <alignment horizontal="left" vertical="center"/>
    </xf>
    <xf numFmtId="0" fontId="0" fillId="0" borderId="5" xfId="0" applyBorder="1" applyAlignment="1">
      <alignment horizontal="left"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1" fillId="0" borderId="3" xfId="0" applyFont="1" applyBorder="1" applyAlignment="1">
      <alignment horizontal="left" vertical="center"/>
    </xf>
    <xf numFmtId="0" fontId="1" fillId="0" borderId="5" xfId="0" applyFont="1" applyBorder="1" applyAlignment="1">
      <alignment horizontal="left" vertical="center"/>
    </xf>
    <xf numFmtId="0" fontId="0" fillId="0" borderId="3" xfId="0" applyBorder="1" applyAlignment="1">
      <alignment horizontal="center" wrapText="1"/>
    </xf>
    <xf numFmtId="0" fontId="0" fillId="0" borderId="5" xfId="0" applyBorder="1" applyAlignment="1">
      <alignment horizontal="center" wrapText="1"/>
    </xf>
    <xf numFmtId="0" fontId="0" fillId="0" borderId="3" xfId="0" applyBorder="1" applyAlignment="1">
      <alignment horizontal="center"/>
    </xf>
    <xf numFmtId="0" fontId="0" fillId="0" borderId="5" xfId="0" applyBorder="1" applyAlignment="1">
      <alignment horizontal="center"/>
    </xf>
    <xf numFmtId="0" fontId="3" fillId="0" borderId="0" xfId="0" applyFont="1" applyAlignment="1">
      <alignment horizontal="left" vertical="center" wrapText="1"/>
    </xf>
    <xf numFmtId="0" fontId="10" fillId="0" borderId="0" xfId="0" applyFont="1" applyAlignment="1">
      <alignment horizontal="left" vertical="center" wrapText="1"/>
    </xf>
    <xf numFmtId="0" fontId="5" fillId="0" borderId="0" xfId="0" applyFont="1" applyAlignment="1">
      <alignment horizontal="left" wrapText="1"/>
    </xf>
    <xf numFmtId="0" fontId="5" fillId="0" borderId="0" xfId="0" applyFont="1" applyAlignment="1">
      <alignment horizontal="left"/>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78" fillId="0" borderId="0" xfId="0" applyFont="1" applyAlignment="1">
      <alignment horizontal="left" vertical="center" wrapText="1"/>
    </xf>
    <xf numFmtId="0" fontId="48" fillId="0" borderId="0" xfId="0" applyFont="1" applyAlignment="1"/>
  </cellXfs>
  <cellStyles count="2">
    <cellStyle name="Excel Built-in Normal" xfId="1" xr:uid="{00000000-0005-0000-0000-000000000000}"/>
    <cellStyle name="Normalny" xfId="0" builtinId="0"/>
  </cellStyles>
  <dxfs count="0"/>
  <tableStyles count="0" defaultTableStyle="TableStyleMedium2" defaultPivotStyle="PivotStyleMedium9"/>
  <colors>
    <mruColors>
      <color rgb="FF4D762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2"/>
  <sheetViews>
    <sheetView view="pageBreakPreview" topLeftCell="A64" zoomScaleNormal="100" zoomScaleSheetLayoutView="100" workbookViewId="0">
      <selection activeCell="B78" sqref="B78"/>
    </sheetView>
  </sheetViews>
  <sheetFormatPr defaultRowHeight="15"/>
  <cols>
    <col min="1" max="1" width="5.28515625" customWidth="1"/>
    <col min="2" max="2" width="15.28515625" customWidth="1"/>
    <col min="3" max="3" width="13.7109375" customWidth="1"/>
    <col min="4" max="4" width="48.42578125" customWidth="1"/>
    <col min="5" max="5" width="11.28515625" bestFit="1" customWidth="1"/>
  </cols>
  <sheetData>
    <row r="1" spans="1:10">
      <c r="A1" s="171"/>
      <c r="B1" s="254" t="s">
        <v>0</v>
      </c>
      <c r="C1" s="254"/>
      <c r="D1" s="254"/>
      <c r="E1" s="254"/>
      <c r="F1" s="254"/>
      <c r="G1" s="254"/>
      <c r="H1" s="254"/>
      <c r="I1" s="169"/>
      <c r="J1" s="169"/>
    </row>
    <row r="2" spans="1:10">
      <c r="A2" s="171"/>
      <c r="B2" s="237"/>
      <c r="C2" s="237"/>
      <c r="D2" s="198"/>
      <c r="E2" s="199" t="s">
        <v>1</v>
      </c>
      <c r="F2" s="199"/>
      <c r="G2" s="198"/>
      <c r="H2" s="237"/>
      <c r="I2" s="169"/>
      <c r="J2" s="169"/>
    </row>
    <row r="3" spans="1:10">
      <c r="A3" s="171"/>
      <c r="B3" s="237"/>
      <c r="C3" s="237"/>
      <c r="D3" s="198"/>
      <c r="E3" s="199" t="s">
        <v>2</v>
      </c>
      <c r="F3" s="199"/>
      <c r="G3" s="198"/>
      <c r="H3" s="237"/>
      <c r="I3" s="169"/>
      <c r="J3" s="169"/>
    </row>
    <row r="4" spans="1:10">
      <c r="A4" s="171"/>
      <c r="B4" s="237"/>
      <c r="C4" s="237"/>
      <c r="D4" s="198"/>
      <c r="E4" s="199" t="s">
        <v>3</v>
      </c>
      <c r="F4" s="199"/>
      <c r="G4" s="198"/>
      <c r="H4" s="237"/>
      <c r="I4" s="169"/>
      <c r="J4" s="169"/>
    </row>
    <row r="5" spans="1:10">
      <c r="A5" s="171"/>
      <c r="B5" s="171"/>
      <c r="C5" s="171"/>
      <c r="D5" s="171"/>
      <c r="E5" s="171"/>
      <c r="F5" s="171"/>
      <c r="G5" s="171"/>
      <c r="H5" s="171"/>
    </row>
    <row r="6" spans="1:10" ht="15.75">
      <c r="A6" s="173"/>
      <c r="B6" s="255" t="s">
        <v>4</v>
      </c>
      <c r="C6" s="255"/>
      <c r="D6" s="255"/>
      <c r="E6" s="255"/>
      <c r="F6" s="255"/>
      <c r="G6" s="255"/>
      <c r="H6" s="255"/>
      <c r="I6" s="73"/>
      <c r="J6" s="73"/>
    </row>
    <row r="7" spans="1:10" ht="15.75">
      <c r="A7" s="171"/>
      <c r="B7" s="174"/>
      <c r="C7" s="172"/>
      <c r="D7" s="172"/>
      <c r="E7" s="171"/>
      <c r="F7" s="172"/>
      <c r="G7" s="171"/>
      <c r="H7" s="171"/>
    </row>
    <row r="8" spans="1:10" ht="15.75">
      <c r="A8" s="175">
        <v>1</v>
      </c>
      <c r="B8" s="176" t="s">
        <v>5</v>
      </c>
      <c r="C8" s="172"/>
      <c r="D8" s="177"/>
      <c r="E8" s="171"/>
      <c r="F8" s="172"/>
      <c r="G8" s="171"/>
      <c r="H8" s="171"/>
    </row>
    <row r="9" spans="1:10" ht="15.75">
      <c r="A9" s="178"/>
      <c r="B9" s="179"/>
      <c r="C9" s="177"/>
      <c r="D9" s="177"/>
      <c r="E9" s="171"/>
      <c r="F9" s="172"/>
      <c r="G9" s="171"/>
      <c r="H9" s="171"/>
    </row>
    <row r="10" spans="1:10" ht="45" customHeight="1">
      <c r="A10" s="178"/>
      <c r="B10" s="259" t="s">
        <v>6</v>
      </c>
      <c r="C10" s="259"/>
      <c r="D10" s="177" t="s">
        <v>7</v>
      </c>
      <c r="E10" s="171"/>
      <c r="F10" s="172"/>
      <c r="G10" s="171"/>
      <c r="H10" s="171"/>
    </row>
    <row r="11" spans="1:10" ht="34.9" customHeight="1">
      <c r="A11" s="178"/>
      <c r="B11" s="259" t="s">
        <v>8</v>
      </c>
      <c r="C11" s="14" t="s">
        <v>9</v>
      </c>
      <c r="D11" s="177" t="s">
        <v>10</v>
      </c>
      <c r="E11" s="171"/>
      <c r="F11" s="172"/>
      <c r="G11" s="171"/>
      <c r="H11" s="171"/>
    </row>
    <row r="12" spans="1:10" ht="34.9" customHeight="1">
      <c r="A12" s="178"/>
      <c r="B12" s="259"/>
      <c r="C12" s="14" t="s">
        <v>11</v>
      </c>
      <c r="D12" s="177" t="s">
        <v>12</v>
      </c>
      <c r="E12" s="171"/>
      <c r="F12" s="172"/>
      <c r="G12" s="171"/>
      <c r="H12" s="171"/>
    </row>
    <row r="13" spans="1:10" ht="34.9" customHeight="1">
      <c r="A13" s="178"/>
      <c r="B13" s="259"/>
      <c r="C13" s="14" t="s">
        <v>13</v>
      </c>
      <c r="D13" s="177" t="s">
        <v>12</v>
      </c>
      <c r="E13" s="171"/>
      <c r="F13" s="172"/>
      <c r="G13" s="171"/>
      <c r="H13" s="171"/>
    </row>
    <row r="14" spans="1:10" ht="34.9" customHeight="1">
      <c r="A14" s="178"/>
      <c r="B14" s="259"/>
      <c r="C14" s="14" t="s">
        <v>14</v>
      </c>
      <c r="D14" s="177" t="s">
        <v>12</v>
      </c>
      <c r="E14" s="171"/>
      <c r="F14" s="172"/>
      <c r="G14" s="171"/>
      <c r="H14" s="171"/>
    </row>
    <row r="15" spans="1:10" ht="34.9" customHeight="1">
      <c r="A15" s="178"/>
      <c r="B15" s="259" t="s">
        <v>15</v>
      </c>
      <c r="C15" s="14" t="s">
        <v>16</v>
      </c>
      <c r="D15" s="177" t="s">
        <v>17</v>
      </c>
      <c r="E15" s="171"/>
      <c r="F15" s="172"/>
      <c r="G15" s="171"/>
      <c r="H15" s="171"/>
    </row>
    <row r="16" spans="1:10" ht="34.9" customHeight="1">
      <c r="A16" s="178"/>
      <c r="B16" s="259"/>
      <c r="C16" s="14" t="s">
        <v>9</v>
      </c>
      <c r="D16" s="177" t="s">
        <v>18</v>
      </c>
      <c r="E16" s="171"/>
      <c r="F16" s="172"/>
      <c r="G16" s="171"/>
      <c r="H16" s="171"/>
    </row>
    <row r="17" spans="1:8" ht="34.9" customHeight="1">
      <c r="A17" s="178"/>
      <c r="B17" s="259"/>
      <c r="C17" s="14" t="s">
        <v>11</v>
      </c>
      <c r="D17" s="177" t="s">
        <v>12</v>
      </c>
      <c r="E17" s="171"/>
      <c r="F17" s="172"/>
      <c r="G17" s="171"/>
      <c r="H17" s="171"/>
    </row>
    <row r="18" spans="1:8" ht="34.9" customHeight="1">
      <c r="A18" s="178"/>
      <c r="B18" s="259"/>
      <c r="C18" s="14" t="s">
        <v>13</v>
      </c>
      <c r="D18" s="177" t="s">
        <v>12</v>
      </c>
      <c r="E18" s="171"/>
      <c r="F18" s="172"/>
      <c r="G18" s="171"/>
      <c r="H18" s="171"/>
    </row>
    <row r="19" spans="1:8" ht="34.9" customHeight="1">
      <c r="A19" s="178"/>
      <c r="B19" s="259"/>
      <c r="C19" s="14" t="s">
        <v>19</v>
      </c>
      <c r="D19" s="177" t="s">
        <v>20</v>
      </c>
      <c r="E19" s="171"/>
      <c r="F19" s="172"/>
      <c r="G19" s="171"/>
      <c r="H19" s="171"/>
    </row>
    <row r="20" spans="1:8" ht="34.9" customHeight="1">
      <c r="A20" s="178"/>
      <c r="B20" s="259"/>
      <c r="C20" s="14" t="s">
        <v>21</v>
      </c>
      <c r="D20" s="220">
        <v>19</v>
      </c>
      <c r="E20" s="171"/>
      <c r="F20" s="172"/>
      <c r="G20" s="171"/>
      <c r="H20" s="171"/>
    </row>
    <row r="21" spans="1:8" ht="34.9" customHeight="1">
      <c r="A21" s="178"/>
      <c r="B21" s="259"/>
      <c r="C21" s="14" t="s">
        <v>22</v>
      </c>
      <c r="D21" s="177"/>
      <c r="E21" s="171"/>
      <c r="F21" s="172"/>
      <c r="G21" s="171"/>
      <c r="H21" s="171"/>
    </row>
    <row r="22" spans="1:8" ht="34.9" customHeight="1">
      <c r="A22" s="178"/>
      <c r="B22" s="259"/>
      <c r="C22" s="14" t="s">
        <v>14</v>
      </c>
      <c r="D22" s="177" t="s">
        <v>12</v>
      </c>
      <c r="E22" s="171"/>
      <c r="F22" s="172"/>
      <c r="G22" s="171"/>
      <c r="H22" s="171"/>
    </row>
    <row r="23" spans="1:8" ht="34.9" customHeight="1">
      <c r="A23" s="178"/>
      <c r="B23" s="259"/>
      <c r="C23" s="14" t="s">
        <v>23</v>
      </c>
      <c r="D23" s="177" t="s">
        <v>24</v>
      </c>
      <c r="E23" s="171"/>
      <c r="F23" s="172"/>
      <c r="G23" s="171"/>
      <c r="H23" s="171"/>
    </row>
    <row r="24" spans="1:8" ht="34.9" customHeight="1">
      <c r="A24" s="178"/>
      <c r="B24" s="259"/>
      <c r="C24" s="14" t="s">
        <v>25</v>
      </c>
      <c r="D24" s="177" t="s">
        <v>12</v>
      </c>
      <c r="E24" s="171"/>
      <c r="F24" s="172"/>
      <c r="G24" s="171"/>
      <c r="H24" s="171"/>
    </row>
    <row r="25" spans="1:8" ht="34.9" customHeight="1">
      <c r="A25" s="178"/>
      <c r="B25" s="260" t="s">
        <v>26</v>
      </c>
      <c r="C25" s="260"/>
      <c r="D25" s="177"/>
      <c r="E25" s="171"/>
      <c r="F25" s="172"/>
      <c r="G25" s="171"/>
      <c r="H25" s="171"/>
    </row>
    <row r="26" spans="1:8" ht="15.75">
      <c r="A26" s="178"/>
      <c r="B26" s="179"/>
      <c r="C26" s="177"/>
      <c r="D26" s="177"/>
      <c r="E26" s="171"/>
      <c r="F26" s="172"/>
      <c r="G26" s="171"/>
      <c r="H26" s="171"/>
    </row>
    <row r="27" spans="1:8" ht="15.75">
      <c r="A27" s="178"/>
      <c r="B27" s="179"/>
      <c r="C27" s="177"/>
      <c r="D27" s="177"/>
      <c r="E27" s="171"/>
      <c r="F27" s="172"/>
      <c r="G27" s="171"/>
      <c r="H27" s="171"/>
    </row>
    <row r="28" spans="1:8" ht="15.75">
      <c r="A28" s="238">
        <v>2</v>
      </c>
      <c r="B28" s="176" t="s">
        <v>27</v>
      </c>
      <c r="C28" s="172"/>
      <c r="D28" s="172"/>
      <c r="E28" s="171"/>
      <c r="F28" s="172"/>
      <c r="G28" s="171"/>
      <c r="H28" s="171"/>
    </row>
    <row r="29" spans="1:8" ht="15.75">
      <c r="A29" s="238"/>
      <c r="B29" s="180"/>
      <c r="C29" s="172"/>
      <c r="D29" s="172"/>
      <c r="E29" s="171"/>
      <c r="F29" s="172"/>
      <c r="G29" s="171"/>
      <c r="H29" s="171"/>
    </row>
    <row r="30" spans="1:8" ht="15.75">
      <c r="A30" s="178"/>
      <c r="B30" s="179"/>
      <c r="C30" s="177"/>
      <c r="D30" s="177"/>
      <c r="E30" s="171"/>
      <c r="F30" s="172"/>
      <c r="G30" s="171"/>
      <c r="H30" s="171"/>
    </row>
    <row r="31" spans="1:8" ht="15.75">
      <c r="A31" s="238">
        <v>3</v>
      </c>
      <c r="B31" s="176" t="s">
        <v>28</v>
      </c>
      <c r="C31" s="172"/>
      <c r="D31" s="172"/>
      <c r="E31" s="171"/>
      <c r="F31" s="172"/>
      <c r="G31" s="171"/>
      <c r="H31" s="171"/>
    </row>
    <row r="32" spans="1:8" ht="15.75">
      <c r="A32" s="178"/>
      <c r="B32" s="177" t="s">
        <v>29</v>
      </c>
      <c r="C32" s="177"/>
      <c r="D32" s="177"/>
      <c r="E32" s="202">
        <v>43466</v>
      </c>
      <c r="F32" s="172"/>
      <c r="G32" s="181"/>
      <c r="H32" s="171"/>
    </row>
    <row r="33" spans="1:8" ht="15.75">
      <c r="A33" s="178"/>
      <c r="B33" s="177" t="s">
        <v>30</v>
      </c>
      <c r="C33" s="177"/>
      <c r="D33" s="177"/>
      <c r="E33" s="202">
        <v>43830</v>
      </c>
      <c r="F33" s="172"/>
      <c r="G33" s="181"/>
      <c r="H33" s="171"/>
    </row>
    <row r="34" spans="1:8" ht="15.75">
      <c r="A34" s="178"/>
      <c r="B34" s="171"/>
      <c r="C34" s="172"/>
      <c r="D34" s="172"/>
      <c r="E34" s="171"/>
      <c r="F34" s="172"/>
      <c r="G34" s="171"/>
      <c r="H34" s="171"/>
    </row>
    <row r="35" spans="1:8">
      <c r="A35" s="178"/>
      <c r="B35" s="329" t="s">
        <v>31</v>
      </c>
      <c r="C35" s="329"/>
      <c r="D35" s="329"/>
      <c r="E35" s="329"/>
      <c r="F35" s="329"/>
      <c r="G35" s="329"/>
      <c r="H35" s="171"/>
    </row>
    <row r="36" spans="1:8" ht="15.75">
      <c r="A36" s="178"/>
      <c r="B36" s="182"/>
      <c r="C36" s="172"/>
      <c r="D36" s="172"/>
      <c r="E36" s="171"/>
      <c r="F36" s="172"/>
      <c r="G36" s="171"/>
      <c r="H36" s="171"/>
    </row>
    <row r="37" spans="1:8" ht="15.75">
      <c r="A37" s="178"/>
      <c r="B37" s="182"/>
      <c r="C37" s="172"/>
      <c r="D37" s="172"/>
      <c r="E37" s="171"/>
      <c r="F37" s="172"/>
      <c r="G37" s="171"/>
      <c r="H37" s="171"/>
    </row>
    <row r="38" spans="1:8" ht="15.75">
      <c r="A38" s="175">
        <v>4</v>
      </c>
      <c r="B38" s="176" t="s">
        <v>32</v>
      </c>
      <c r="C38" s="176"/>
      <c r="D38" s="176"/>
      <c r="E38" s="173"/>
      <c r="F38" s="172"/>
      <c r="G38" s="171"/>
      <c r="H38" s="171"/>
    </row>
    <row r="39" spans="1:8" ht="15.75">
      <c r="A39" s="178"/>
      <c r="B39" s="176" t="s">
        <v>33</v>
      </c>
      <c r="C39" s="176"/>
      <c r="D39" s="176"/>
      <c r="E39" s="173"/>
      <c r="F39" s="172"/>
      <c r="G39" s="171"/>
      <c r="H39" s="171"/>
    </row>
    <row r="40" spans="1:8" ht="15.75">
      <c r="A40" s="178"/>
      <c r="B40" s="176" t="s">
        <v>34</v>
      </c>
      <c r="C40" s="176"/>
      <c r="D40" s="176"/>
      <c r="E40" s="172"/>
      <c r="F40" s="172"/>
      <c r="G40" s="171"/>
      <c r="H40" s="171"/>
    </row>
    <row r="41" spans="1:8" ht="15.75">
      <c r="A41" s="178"/>
      <c r="B41" s="182"/>
      <c r="C41" s="172"/>
      <c r="D41" s="172"/>
      <c r="E41" s="171"/>
      <c r="F41" s="172"/>
      <c r="G41" s="171"/>
      <c r="H41" s="171"/>
    </row>
    <row r="42" spans="1:8" ht="15.75">
      <c r="A42" s="178"/>
      <c r="B42" s="182"/>
      <c r="C42" s="172"/>
      <c r="D42" s="172"/>
      <c r="E42" s="171"/>
      <c r="F42" s="172"/>
      <c r="G42" s="171"/>
      <c r="H42" s="171"/>
    </row>
    <row r="43" spans="1:8">
      <c r="A43" s="171"/>
      <c r="B43" s="171"/>
      <c r="C43" s="171"/>
      <c r="D43" s="171"/>
      <c r="E43" s="171"/>
      <c r="F43" s="171"/>
      <c r="G43" s="171"/>
      <c r="H43" s="171"/>
    </row>
    <row r="44" spans="1:8">
      <c r="A44" s="171"/>
      <c r="B44" s="171"/>
      <c r="C44" s="171"/>
      <c r="D44" s="171"/>
      <c r="E44" s="171"/>
      <c r="F44" s="171"/>
      <c r="G44" s="171"/>
      <c r="H44" s="171"/>
    </row>
    <row r="45" spans="1:8" ht="15.75">
      <c r="A45" s="171"/>
      <c r="B45" s="171"/>
      <c r="C45" s="172"/>
      <c r="D45" s="172"/>
      <c r="E45" s="171"/>
      <c r="F45" s="172"/>
      <c r="G45" s="171"/>
      <c r="H45" s="171"/>
    </row>
    <row r="46" spans="1:8" ht="15.75">
      <c r="A46" s="184">
        <v>5</v>
      </c>
      <c r="B46" s="176" t="s">
        <v>35</v>
      </c>
      <c r="C46" s="176"/>
      <c r="D46" s="176"/>
      <c r="E46" s="173"/>
      <c r="F46" s="172"/>
      <c r="G46" s="171"/>
      <c r="H46" s="171"/>
    </row>
    <row r="47" spans="1:8" ht="15.75">
      <c r="A47" s="171"/>
      <c r="B47" s="176" t="s">
        <v>36</v>
      </c>
      <c r="C47" s="176"/>
      <c r="D47" s="176"/>
      <c r="E47" s="173"/>
      <c r="F47" s="172"/>
      <c r="G47" s="171"/>
      <c r="H47" s="171"/>
    </row>
    <row r="48" spans="1:8" ht="15.75">
      <c r="A48" s="171"/>
      <c r="B48" s="176" t="s">
        <v>37</v>
      </c>
      <c r="C48" s="176"/>
      <c r="D48" s="176"/>
      <c r="E48" s="173"/>
      <c r="F48" s="172"/>
      <c r="G48" s="171"/>
      <c r="H48" s="171"/>
    </row>
    <row r="49" spans="1:8">
      <c r="A49" s="183"/>
      <c r="B49" s="171"/>
      <c r="C49" s="171"/>
      <c r="D49" s="171"/>
      <c r="E49" s="171"/>
      <c r="F49" s="171"/>
      <c r="G49" s="171"/>
      <c r="H49" s="171"/>
    </row>
    <row r="50" spans="1:8" ht="31.9" customHeight="1">
      <c r="A50" s="183"/>
      <c r="B50" s="257" t="s">
        <v>38</v>
      </c>
      <c r="C50" s="257"/>
      <c r="D50" s="257"/>
      <c r="E50" s="257"/>
      <c r="F50" s="257"/>
      <c r="G50" s="257"/>
      <c r="H50" s="171"/>
    </row>
    <row r="51" spans="1:8" ht="14.45" customHeight="1">
      <c r="A51" s="183"/>
      <c r="B51" s="239"/>
      <c r="C51" s="239"/>
      <c r="D51" s="239"/>
      <c r="E51" s="239"/>
      <c r="F51" s="239"/>
      <c r="G51" s="239"/>
      <c r="H51" s="171"/>
    </row>
    <row r="52" spans="1:8" ht="31.9" customHeight="1">
      <c r="A52" s="183"/>
      <c r="B52" s="258" t="s">
        <v>39</v>
      </c>
      <c r="C52" s="258"/>
      <c r="D52" s="258"/>
      <c r="E52" s="258"/>
      <c r="F52" s="258"/>
      <c r="G52" s="258"/>
      <c r="H52" s="171"/>
    </row>
    <row r="53" spans="1:8" ht="15.75">
      <c r="A53" s="183"/>
      <c r="B53" s="258" t="s">
        <v>40</v>
      </c>
      <c r="C53" s="258"/>
      <c r="D53" s="258"/>
      <c r="E53" s="258"/>
      <c r="F53" s="258"/>
      <c r="G53" s="258"/>
      <c r="H53" s="171"/>
    </row>
    <row r="54" spans="1:8" ht="15.75">
      <c r="A54" s="183"/>
      <c r="B54" s="173" t="s">
        <v>41</v>
      </c>
      <c r="C54" s="171"/>
      <c r="D54" s="171"/>
      <c r="E54" s="171"/>
      <c r="F54" s="171"/>
      <c r="G54" s="171"/>
      <c r="H54" s="171"/>
    </row>
    <row r="55" spans="1:8" ht="32.450000000000003" customHeight="1">
      <c r="A55" s="183"/>
      <c r="B55" s="258" t="s">
        <v>42</v>
      </c>
      <c r="C55" s="258"/>
      <c r="D55" s="258"/>
      <c r="E55" s="258"/>
      <c r="F55" s="258"/>
      <c r="G55" s="258"/>
      <c r="H55" s="171"/>
    </row>
    <row r="56" spans="1:8" ht="15.75">
      <c r="A56" s="183"/>
      <c r="B56" s="173" t="s">
        <v>43</v>
      </c>
      <c r="C56" s="173"/>
      <c r="D56" s="173"/>
      <c r="E56" s="171"/>
      <c r="F56" s="171"/>
      <c r="G56" s="171"/>
      <c r="H56" s="171"/>
    </row>
    <row r="57" spans="1:8" ht="15.75">
      <c r="A57" s="183"/>
      <c r="B57" s="173" t="s">
        <v>44</v>
      </c>
      <c r="C57" s="173"/>
      <c r="D57" s="173"/>
      <c r="E57" s="171"/>
      <c r="F57" s="171"/>
      <c r="G57" s="171"/>
      <c r="H57" s="171"/>
    </row>
    <row r="58" spans="1:8" ht="15.75">
      <c r="A58" s="183"/>
      <c r="B58" s="173" t="s">
        <v>45</v>
      </c>
      <c r="C58" s="173"/>
      <c r="D58" s="173"/>
      <c r="E58" s="171"/>
      <c r="F58" s="171"/>
      <c r="G58" s="171"/>
      <c r="H58" s="171"/>
    </row>
    <row r="59" spans="1:8" ht="15.75">
      <c r="A59" s="183"/>
      <c r="B59" s="173" t="s">
        <v>46</v>
      </c>
      <c r="C59" s="173"/>
      <c r="D59" s="173"/>
      <c r="E59" s="171"/>
      <c r="F59" s="171"/>
      <c r="G59" s="171"/>
      <c r="H59" s="171"/>
    </row>
    <row r="60" spans="1:8" ht="15.75">
      <c r="A60" s="183"/>
      <c r="B60" s="173" t="s">
        <v>47</v>
      </c>
      <c r="C60" s="173"/>
      <c r="D60" s="173"/>
      <c r="E60" s="171"/>
      <c r="F60" s="171"/>
      <c r="G60" s="171"/>
      <c r="H60" s="171"/>
    </row>
    <row r="61" spans="1:8" ht="15.75">
      <c r="A61" s="183"/>
      <c r="B61" s="173" t="s">
        <v>48</v>
      </c>
      <c r="C61" s="173"/>
      <c r="D61" s="173"/>
      <c r="E61" s="171"/>
      <c r="F61" s="171"/>
      <c r="G61" s="171"/>
      <c r="H61" s="171"/>
    </row>
    <row r="62" spans="1:8">
      <c r="A62" s="183"/>
      <c r="B62" s="171"/>
      <c r="C62" s="171"/>
      <c r="D62" s="171"/>
      <c r="E62" s="171"/>
      <c r="F62" s="171"/>
      <c r="G62" s="171"/>
      <c r="H62" s="171"/>
    </row>
    <row r="63" spans="1:8" ht="15.75">
      <c r="A63" s="174"/>
      <c r="B63" s="195" t="s">
        <v>49</v>
      </c>
      <c r="C63" s="195"/>
      <c r="D63" s="195"/>
      <c r="E63" s="171"/>
      <c r="F63" s="171"/>
      <c r="G63" s="171"/>
      <c r="H63" s="171"/>
    </row>
    <row r="64" spans="1:8">
      <c r="A64" s="171"/>
      <c r="B64" s="171"/>
      <c r="C64" s="171"/>
      <c r="D64" s="171"/>
      <c r="E64" s="171"/>
      <c r="F64" s="171"/>
      <c r="G64" s="171"/>
      <c r="H64" s="171"/>
    </row>
    <row r="65" spans="1:7" ht="27" customHeight="1">
      <c r="A65" s="170">
        <v>6</v>
      </c>
      <c r="B65" s="196" t="s">
        <v>50</v>
      </c>
      <c r="C65" s="197"/>
      <c r="D65" s="197"/>
    </row>
    <row r="66" spans="1:7" ht="43.9" customHeight="1">
      <c r="A66" s="168"/>
      <c r="B66" s="256" t="s">
        <v>51</v>
      </c>
      <c r="C66" s="256"/>
      <c r="D66" s="256"/>
      <c r="E66" s="256"/>
      <c r="F66" s="256"/>
      <c r="G66" s="256"/>
    </row>
    <row r="67" spans="1:7" ht="67.150000000000006" customHeight="1">
      <c r="A67" s="168"/>
      <c r="B67" s="256" t="s">
        <v>52</v>
      </c>
      <c r="C67" s="256"/>
      <c r="D67" s="256"/>
      <c r="E67" s="256"/>
      <c r="F67" s="256"/>
      <c r="G67" s="256"/>
    </row>
    <row r="68" spans="1:7" ht="29.45" customHeight="1">
      <c r="B68" s="185" t="s">
        <v>53</v>
      </c>
      <c r="C68" s="173"/>
      <c r="D68" s="173"/>
      <c r="E68" s="173"/>
      <c r="F68" s="173"/>
      <c r="G68" s="173"/>
    </row>
    <row r="69" spans="1:7" ht="27" customHeight="1">
      <c r="B69" s="185" t="s">
        <v>54</v>
      </c>
      <c r="C69" s="173"/>
      <c r="D69" s="173"/>
      <c r="E69" s="173"/>
      <c r="F69" s="173"/>
      <c r="G69" s="173"/>
    </row>
    <row r="70" spans="1:7" ht="27" customHeight="1">
      <c r="B70" s="185" t="s">
        <v>55</v>
      </c>
      <c r="C70" s="173"/>
      <c r="D70" s="173"/>
      <c r="E70" s="173"/>
      <c r="F70" s="173"/>
      <c r="G70" s="173"/>
    </row>
    <row r="71" spans="1:7" ht="27" customHeight="1">
      <c r="B71" s="185" t="s">
        <v>56</v>
      </c>
      <c r="C71" s="173"/>
      <c r="D71" s="173"/>
      <c r="E71" s="173"/>
      <c r="F71" s="173"/>
      <c r="G71" s="173"/>
    </row>
    <row r="72" spans="1:7" ht="15.75">
      <c r="B72" s="173" t="s">
        <v>57</v>
      </c>
      <c r="C72" s="173"/>
      <c r="D72" s="173"/>
      <c r="E72" s="173"/>
      <c r="F72" s="173"/>
      <c r="G72" s="173"/>
    </row>
    <row r="73" spans="1:7" ht="15.75">
      <c r="B73" s="173"/>
      <c r="C73" s="173"/>
      <c r="D73" s="173"/>
      <c r="E73" s="173"/>
      <c r="F73" s="173"/>
      <c r="G73" s="173"/>
    </row>
    <row r="74" spans="1:7" ht="36" customHeight="1">
      <c r="A74" s="184">
        <v>7</v>
      </c>
      <c r="B74" s="257" t="s">
        <v>58</v>
      </c>
      <c r="C74" s="257"/>
      <c r="D74" s="257"/>
      <c r="E74" s="257"/>
      <c r="F74" s="257"/>
      <c r="G74" s="257"/>
    </row>
    <row r="75" spans="1:7" ht="15.75">
      <c r="A75" s="173"/>
      <c r="B75" s="173"/>
      <c r="C75" s="173"/>
      <c r="D75" s="173"/>
      <c r="E75" s="173"/>
      <c r="F75" s="173"/>
      <c r="G75" s="173"/>
    </row>
    <row r="76" spans="1:7" ht="15.75">
      <c r="A76" s="173"/>
      <c r="B76" s="173"/>
      <c r="C76" s="173"/>
      <c r="D76" s="173"/>
      <c r="E76" s="173"/>
      <c r="F76" s="173"/>
      <c r="G76" s="173"/>
    </row>
    <row r="77" spans="1:7" ht="15.75">
      <c r="A77" s="173"/>
      <c r="B77" s="173"/>
      <c r="C77" s="173"/>
      <c r="D77" s="173"/>
      <c r="E77" s="173"/>
      <c r="F77" s="173"/>
      <c r="G77" s="173"/>
    </row>
    <row r="78" spans="1:7" ht="15.75">
      <c r="A78" s="173"/>
      <c r="B78" s="39" t="s">
        <v>59</v>
      </c>
      <c r="C78" s="40"/>
      <c r="D78" s="173"/>
      <c r="E78" s="173"/>
      <c r="F78" s="173"/>
      <c r="G78" s="173"/>
    </row>
    <row r="79" spans="1:7" ht="15.75">
      <c r="B79" s="41" t="s">
        <v>60</v>
      </c>
      <c r="C79" s="42"/>
      <c r="D79" s="173"/>
      <c r="E79" s="173"/>
      <c r="F79" s="173"/>
      <c r="G79" s="173"/>
    </row>
    <row r="80" spans="1:7" ht="15.75">
      <c r="B80" s="173"/>
      <c r="C80" s="173"/>
      <c r="D80" s="173"/>
      <c r="E80" s="173"/>
      <c r="F80" s="173"/>
      <c r="G80" s="173"/>
    </row>
    <row r="81" spans="2:7">
      <c r="B81" s="40" t="s">
        <v>61</v>
      </c>
      <c r="E81" s="44" t="s">
        <v>62</v>
      </c>
      <c r="F81" s="44"/>
    </row>
    <row r="82" spans="2:7">
      <c r="B82" s="41" t="s">
        <v>63</v>
      </c>
      <c r="C82" s="42"/>
      <c r="E82" s="186" t="s">
        <v>64</v>
      </c>
      <c r="F82" s="186"/>
      <c r="G82" s="186"/>
    </row>
  </sheetData>
  <mergeCells count="14">
    <mergeCell ref="B1:H1"/>
    <mergeCell ref="B6:H6"/>
    <mergeCell ref="B66:G66"/>
    <mergeCell ref="B67:G67"/>
    <mergeCell ref="B74:G74"/>
    <mergeCell ref="B50:G50"/>
    <mergeCell ref="B52:G52"/>
    <mergeCell ref="B53:G53"/>
    <mergeCell ref="B55:G55"/>
    <mergeCell ref="B10:C10"/>
    <mergeCell ref="B11:B14"/>
    <mergeCell ref="B15:B24"/>
    <mergeCell ref="B25:C25"/>
    <mergeCell ref="B35:G35"/>
  </mergeCells>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68"/>
  <sheetViews>
    <sheetView view="pageBreakPreview" topLeftCell="A17" zoomScaleNormal="100" zoomScaleSheetLayoutView="100" workbookViewId="0">
      <selection activeCell="A37" sqref="A37"/>
    </sheetView>
  </sheetViews>
  <sheetFormatPr defaultRowHeight="15"/>
  <cols>
    <col min="1" max="1" width="8.28515625" style="23" customWidth="1"/>
    <col min="2" max="2" width="56.7109375" style="47" customWidth="1"/>
    <col min="3" max="4" width="20.7109375" style="32" customWidth="1"/>
    <col min="5" max="5" width="26" customWidth="1"/>
    <col min="6" max="6" width="11.28515625" style="23" customWidth="1"/>
    <col min="7" max="7" width="75.42578125" customWidth="1"/>
    <col min="257" max="257" width="5.140625" customWidth="1"/>
    <col min="258" max="258" width="56.7109375" customWidth="1"/>
    <col min="259" max="259" width="15.7109375" customWidth="1"/>
    <col min="260" max="260" width="16.85546875" customWidth="1"/>
    <col min="261" max="261" width="1.28515625" customWidth="1"/>
    <col min="262" max="262" width="11.28515625" customWidth="1"/>
    <col min="263" max="263" width="75.42578125" customWidth="1"/>
    <col min="513" max="513" width="5.140625" customWidth="1"/>
    <col min="514" max="514" width="56.7109375" customWidth="1"/>
    <col min="515" max="515" width="15.7109375" customWidth="1"/>
    <col min="516" max="516" width="16.85546875" customWidth="1"/>
    <col min="517" max="517" width="1.28515625" customWidth="1"/>
    <col min="518" max="518" width="11.28515625" customWidth="1"/>
    <col min="519" max="519" width="75.42578125" customWidth="1"/>
    <col min="769" max="769" width="5.140625" customWidth="1"/>
    <col min="770" max="770" width="56.7109375" customWidth="1"/>
    <col min="771" max="771" width="15.7109375" customWidth="1"/>
    <col min="772" max="772" width="16.85546875" customWidth="1"/>
    <col min="773" max="773" width="1.28515625" customWidth="1"/>
    <col min="774" max="774" width="11.28515625" customWidth="1"/>
    <col min="775" max="775" width="75.42578125" customWidth="1"/>
    <col min="1025" max="1025" width="5.140625" customWidth="1"/>
    <col min="1026" max="1026" width="56.7109375" customWidth="1"/>
    <col min="1027" max="1027" width="15.7109375" customWidth="1"/>
    <col min="1028" max="1028" width="16.85546875" customWidth="1"/>
    <col min="1029" max="1029" width="1.28515625" customWidth="1"/>
    <col min="1030" max="1030" width="11.28515625" customWidth="1"/>
    <col min="1031" max="1031" width="75.42578125" customWidth="1"/>
    <col min="1281" max="1281" width="5.140625" customWidth="1"/>
    <col min="1282" max="1282" width="56.7109375" customWidth="1"/>
    <col min="1283" max="1283" width="15.7109375" customWidth="1"/>
    <col min="1284" max="1284" width="16.85546875" customWidth="1"/>
    <col min="1285" max="1285" width="1.28515625" customWidth="1"/>
    <col min="1286" max="1286" width="11.28515625" customWidth="1"/>
    <col min="1287" max="1287" width="75.42578125" customWidth="1"/>
    <col min="1537" max="1537" width="5.140625" customWidth="1"/>
    <col min="1538" max="1538" width="56.7109375" customWidth="1"/>
    <col min="1539" max="1539" width="15.7109375" customWidth="1"/>
    <col min="1540" max="1540" width="16.85546875" customWidth="1"/>
    <col min="1541" max="1541" width="1.28515625" customWidth="1"/>
    <col min="1542" max="1542" width="11.28515625" customWidth="1"/>
    <col min="1543" max="1543" width="75.42578125" customWidth="1"/>
    <col min="1793" max="1793" width="5.140625" customWidth="1"/>
    <col min="1794" max="1794" width="56.7109375" customWidth="1"/>
    <col min="1795" max="1795" width="15.7109375" customWidth="1"/>
    <col min="1796" max="1796" width="16.85546875" customWidth="1"/>
    <col min="1797" max="1797" width="1.28515625" customWidth="1"/>
    <col min="1798" max="1798" width="11.28515625" customWidth="1"/>
    <col min="1799" max="1799" width="75.42578125" customWidth="1"/>
    <col min="2049" max="2049" width="5.140625" customWidth="1"/>
    <col min="2050" max="2050" width="56.7109375" customWidth="1"/>
    <col min="2051" max="2051" width="15.7109375" customWidth="1"/>
    <col min="2052" max="2052" width="16.85546875" customWidth="1"/>
    <col min="2053" max="2053" width="1.28515625" customWidth="1"/>
    <col min="2054" max="2054" width="11.28515625" customWidth="1"/>
    <col min="2055" max="2055" width="75.42578125" customWidth="1"/>
    <col min="2305" max="2305" width="5.140625" customWidth="1"/>
    <col min="2306" max="2306" width="56.7109375" customWidth="1"/>
    <col min="2307" max="2307" width="15.7109375" customWidth="1"/>
    <col min="2308" max="2308" width="16.85546875" customWidth="1"/>
    <col min="2309" max="2309" width="1.28515625" customWidth="1"/>
    <col min="2310" max="2310" width="11.28515625" customWidth="1"/>
    <col min="2311" max="2311" width="75.42578125" customWidth="1"/>
    <col min="2561" max="2561" width="5.140625" customWidth="1"/>
    <col min="2562" max="2562" width="56.7109375" customWidth="1"/>
    <col min="2563" max="2563" width="15.7109375" customWidth="1"/>
    <col min="2564" max="2564" width="16.85546875" customWidth="1"/>
    <col min="2565" max="2565" width="1.28515625" customWidth="1"/>
    <col min="2566" max="2566" width="11.28515625" customWidth="1"/>
    <col min="2567" max="2567" width="75.42578125" customWidth="1"/>
    <col min="2817" max="2817" width="5.140625" customWidth="1"/>
    <col min="2818" max="2818" width="56.7109375" customWidth="1"/>
    <col min="2819" max="2819" width="15.7109375" customWidth="1"/>
    <col min="2820" max="2820" width="16.85546875" customWidth="1"/>
    <col min="2821" max="2821" width="1.28515625" customWidth="1"/>
    <col min="2822" max="2822" width="11.28515625" customWidth="1"/>
    <col min="2823" max="2823" width="75.42578125" customWidth="1"/>
    <col min="3073" max="3073" width="5.140625" customWidth="1"/>
    <col min="3074" max="3074" width="56.7109375" customWidth="1"/>
    <col min="3075" max="3075" width="15.7109375" customWidth="1"/>
    <col min="3076" max="3076" width="16.85546875" customWidth="1"/>
    <col min="3077" max="3077" width="1.28515625" customWidth="1"/>
    <col min="3078" max="3078" width="11.28515625" customWidth="1"/>
    <col min="3079" max="3079" width="75.42578125" customWidth="1"/>
    <col min="3329" max="3329" width="5.140625" customWidth="1"/>
    <col min="3330" max="3330" width="56.7109375" customWidth="1"/>
    <col min="3331" max="3331" width="15.7109375" customWidth="1"/>
    <col min="3332" max="3332" width="16.85546875" customWidth="1"/>
    <col min="3333" max="3333" width="1.28515625" customWidth="1"/>
    <col min="3334" max="3334" width="11.28515625" customWidth="1"/>
    <col min="3335" max="3335" width="75.42578125" customWidth="1"/>
    <col min="3585" max="3585" width="5.140625" customWidth="1"/>
    <col min="3586" max="3586" width="56.7109375" customWidth="1"/>
    <col min="3587" max="3587" width="15.7109375" customWidth="1"/>
    <col min="3588" max="3588" width="16.85546875" customWidth="1"/>
    <col min="3589" max="3589" width="1.28515625" customWidth="1"/>
    <col min="3590" max="3590" width="11.28515625" customWidth="1"/>
    <col min="3591" max="3591" width="75.42578125" customWidth="1"/>
    <col min="3841" max="3841" width="5.140625" customWidth="1"/>
    <col min="3842" max="3842" width="56.7109375" customWidth="1"/>
    <col min="3843" max="3843" width="15.7109375" customWidth="1"/>
    <col min="3844" max="3844" width="16.85546875" customWidth="1"/>
    <col min="3845" max="3845" width="1.28515625" customWidth="1"/>
    <col min="3846" max="3846" width="11.28515625" customWidth="1"/>
    <col min="3847" max="3847" width="75.42578125" customWidth="1"/>
    <col min="4097" max="4097" width="5.140625" customWidth="1"/>
    <col min="4098" max="4098" width="56.7109375" customWidth="1"/>
    <col min="4099" max="4099" width="15.7109375" customWidth="1"/>
    <col min="4100" max="4100" width="16.85546875" customWidth="1"/>
    <col min="4101" max="4101" width="1.28515625" customWidth="1"/>
    <col min="4102" max="4102" width="11.28515625" customWidth="1"/>
    <col min="4103" max="4103" width="75.42578125" customWidth="1"/>
    <col min="4353" max="4353" width="5.140625" customWidth="1"/>
    <col min="4354" max="4354" width="56.7109375" customWidth="1"/>
    <col min="4355" max="4355" width="15.7109375" customWidth="1"/>
    <col min="4356" max="4356" width="16.85546875" customWidth="1"/>
    <col min="4357" max="4357" width="1.28515625" customWidth="1"/>
    <col min="4358" max="4358" width="11.28515625" customWidth="1"/>
    <col min="4359" max="4359" width="75.42578125" customWidth="1"/>
    <col min="4609" max="4609" width="5.140625" customWidth="1"/>
    <col min="4610" max="4610" width="56.7109375" customWidth="1"/>
    <col min="4611" max="4611" width="15.7109375" customWidth="1"/>
    <col min="4612" max="4612" width="16.85546875" customWidth="1"/>
    <col min="4613" max="4613" width="1.28515625" customWidth="1"/>
    <col min="4614" max="4614" width="11.28515625" customWidth="1"/>
    <col min="4615" max="4615" width="75.42578125" customWidth="1"/>
    <col min="4865" max="4865" width="5.140625" customWidth="1"/>
    <col min="4866" max="4866" width="56.7109375" customWidth="1"/>
    <col min="4867" max="4867" width="15.7109375" customWidth="1"/>
    <col min="4868" max="4868" width="16.85546875" customWidth="1"/>
    <col min="4869" max="4869" width="1.28515625" customWidth="1"/>
    <col min="4870" max="4870" width="11.28515625" customWidth="1"/>
    <col min="4871" max="4871" width="75.42578125" customWidth="1"/>
    <col min="5121" max="5121" width="5.140625" customWidth="1"/>
    <col min="5122" max="5122" width="56.7109375" customWidth="1"/>
    <col min="5123" max="5123" width="15.7109375" customWidth="1"/>
    <col min="5124" max="5124" width="16.85546875" customWidth="1"/>
    <col min="5125" max="5125" width="1.28515625" customWidth="1"/>
    <col min="5126" max="5126" width="11.28515625" customWidth="1"/>
    <col min="5127" max="5127" width="75.42578125" customWidth="1"/>
    <col min="5377" max="5377" width="5.140625" customWidth="1"/>
    <col min="5378" max="5378" width="56.7109375" customWidth="1"/>
    <col min="5379" max="5379" width="15.7109375" customWidth="1"/>
    <col min="5380" max="5380" width="16.85546875" customWidth="1"/>
    <col min="5381" max="5381" width="1.28515625" customWidth="1"/>
    <col min="5382" max="5382" width="11.28515625" customWidth="1"/>
    <col min="5383" max="5383" width="75.42578125" customWidth="1"/>
    <col min="5633" max="5633" width="5.140625" customWidth="1"/>
    <col min="5634" max="5634" width="56.7109375" customWidth="1"/>
    <col min="5635" max="5635" width="15.7109375" customWidth="1"/>
    <col min="5636" max="5636" width="16.85546875" customWidth="1"/>
    <col min="5637" max="5637" width="1.28515625" customWidth="1"/>
    <col min="5638" max="5638" width="11.28515625" customWidth="1"/>
    <col min="5639" max="5639" width="75.42578125" customWidth="1"/>
    <col min="5889" max="5889" width="5.140625" customWidth="1"/>
    <col min="5890" max="5890" width="56.7109375" customWidth="1"/>
    <col min="5891" max="5891" width="15.7109375" customWidth="1"/>
    <col min="5892" max="5892" width="16.85546875" customWidth="1"/>
    <col min="5893" max="5893" width="1.28515625" customWidth="1"/>
    <col min="5894" max="5894" width="11.28515625" customWidth="1"/>
    <col min="5895" max="5895" width="75.42578125" customWidth="1"/>
    <col min="6145" max="6145" width="5.140625" customWidth="1"/>
    <col min="6146" max="6146" width="56.7109375" customWidth="1"/>
    <col min="6147" max="6147" width="15.7109375" customWidth="1"/>
    <col min="6148" max="6148" width="16.85546875" customWidth="1"/>
    <col min="6149" max="6149" width="1.28515625" customWidth="1"/>
    <col min="6150" max="6150" width="11.28515625" customWidth="1"/>
    <col min="6151" max="6151" width="75.42578125" customWidth="1"/>
    <col min="6401" max="6401" width="5.140625" customWidth="1"/>
    <col min="6402" max="6402" width="56.7109375" customWidth="1"/>
    <col min="6403" max="6403" width="15.7109375" customWidth="1"/>
    <col min="6404" max="6404" width="16.85546875" customWidth="1"/>
    <col min="6405" max="6405" width="1.28515625" customWidth="1"/>
    <col min="6406" max="6406" width="11.28515625" customWidth="1"/>
    <col min="6407" max="6407" width="75.42578125" customWidth="1"/>
    <col min="6657" max="6657" width="5.140625" customWidth="1"/>
    <col min="6658" max="6658" width="56.7109375" customWidth="1"/>
    <col min="6659" max="6659" width="15.7109375" customWidth="1"/>
    <col min="6660" max="6660" width="16.85546875" customWidth="1"/>
    <col min="6661" max="6661" width="1.28515625" customWidth="1"/>
    <col min="6662" max="6662" width="11.28515625" customWidth="1"/>
    <col min="6663" max="6663" width="75.42578125" customWidth="1"/>
    <col min="6913" max="6913" width="5.140625" customWidth="1"/>
    <col min="6914" max="6914" width="56.7109375" customWidth="1"/>
    <col min="6915" max="6915" width="15.7109375" customWidth="1"/>
    <col min="6916" max="6916" width="16.85546875" customWidth="1"/>
    <col min="6917" max="6917" width="1.28515625" customWidth="1"/>
    <col min="6918" max="6918" width="11.28515625" customWidth="1"/>
    <col min="6919" max="6919" width="75.42578125" customWidth="1"/>
    <col min="7169" max="7169" width="5.140625" customWidth="1"/>
    <col min="7170" max="7170" width="56.7109375" customWidth="1"/>
    <col min="7171" max="7171" width="15.7109375" customWidth="1"/>
    <col min="7172" max="7172" width="16.85546875" customWidth="1"/>
    <col min="7173" max="7173" width="1.28515625" customWidth="1"/>
    <col min="7174" max="7174" width="11.28515625" customWidth="1"/>
    <col min="7175" max="7175" width="75.42578125" customWidth="1"/>
    <col min="7425" max="7425" width="5.140625" customWidth="1"/>
    <col min="7426" max="7426" width="56.7109375" customWidth="1"/>
    <col min="7427" max="7427" width="15.7109375" customWidth="1"/>
    <col min="7428" max="7428" width="16.85546875" customWidth="1"/>
    <col min="7429" max="7429" width="1.28515625" customWidth="1"/>
    <col min="7430" max="7430" width="11.28515625" customWidth="1"/>
    <col min="7431" max="7431" width="75.42578125" customWidth="1"/>
    <col min="7681" max="7681" width="5.140625" customWidth="1"/>
    <col min="7682" max="7682" width="56.7109375" customWidth="1"/>
    <col min="7683" max="7683" width="15.7109375" customWidth="1"/>
    <col min="7684" max="7684" width="16.85546875" customWidth="1"/>
    <col min="7685" max="7685" width="1.28515625" customWidth="1"/>
    <col min="7686" max="7686" width="11.28515625" customWidth="1"/>
    <col min="7687" max="7687" width="75.42578125" customWidth="1"/>
    <col min="7937" max="7937" width="5.140625" customWidth="1"/>
    <col min="7938" max="7938" width="56.7109375" customWidth="1"/>
    <col min="7939" max="7939" width="15.7109375" customWidth="1"/>
    <col min="7940" max="7940" width="16.85546875" customWidth="1"/>
    <col min="7941" max="7941" width="1.28515625" customWidth="1"/>
    <col min="7942" max="7942" width="11.28515625" customWidth="1"/>
    <col min="7943" max="7943" width="75.42578125" customWidth="1"/>
    <col min="8193" max="8193" width="5.140625" customWidth="1"/>
    <col min="8194" max="8194" width="56.7109375" customWidth="1"/>
    <col min="8195" max="8195" width="15.7109375" customWidth="1"/>
    <col min="8196" max="8196" width="16.85546875" customWidth="1"/>
    <col min="8197" max="8197" width="1.28515625" customWidth="1"/>
    <col min="8198" max="8198" width="11.28515625" customWidth="1"/>
    <col min="8199" max="8199" width="75.42578125" customWidth="1"/>
    <col min="8449" max="8449" width="5.140625" customWidth="1"/>
    <col min="8450" max="8450" width="56.7109375" customWidth="1"/>
    <col min="8451" max="8451" width="15.7109375" customWidth="1"/>
    <col min="8452" max="8452" width="16.85546875" customWidth="1"/>
    <col min="8453" max="8453" width="1.28515625" customWidth="1"/>
    <col min="8454" max="8454" width="11.28515625" customWidth="1"/>
    <col min="8455" max="8455" width="75.42578125" customWidth="1"/>
    <col min="8705" max="8705" width="5.140625" customWidth="1"/>
    <col min="8706" max="8706" width="56.7109375" customWidth="1"/>
    <col min="8707" max="8707" width="15.7109375" customWidth="1"/>
    <col min="8708" max="8708" width="16.85546875" customWidth="1"/>
    <col min="8709" max="8709" width="1.28515625" customWidth="1"/>
    <col min="8710" max="8710" width="11.28515625" customWidth="1"/>
    <col min="8711" max="8711" width="75.42578125" customWidth="1"/>
    <col min="8961" max="8961" width="5.140625" customWidth="1"/>
    <col min="8962" max="8962" width="56.7109375" customWidth="1"/>
    <col min="8963" max="8963" width="15.7109375" customWidth="1"/>
    <col min="8964" max="8964" width="16.85546875" customWidth="1"/>
    <col min="8965" max="8965" width="1.28515625" customWidth="1"/>
    <col min="8966" max="8966" width="11.28515625" customWidth="1"/>
    <col min="8967" max="8967" width="75.42578125" customWidth="1"/>
    <col min="9217" max="9217" width="5.140625" customWidth="1"/>
    <col min="9218" max="9218" width="56.7109375" customWidth="1"/>
    <col min="9219" max="9219" width="15.7109375" customWidth="1"/>
    <col min="9220" max="9220" width="16.85546875" customWidth="1"/>
    <col min="9221" max="9221" width="1.28515625" customWidth="1"/>
    <col min="9222" max="9222" width="11.28515625" customWidth="1"/>
    <col min="9223" max="9223" width="75.42578125" customWidth="1"/>
    <col min="9473" max="9473" width="5.140625" customWidth="1"/>
    <col min="9474" max="9474" width="56.7109375" customWidth="1"/>
    <col min="9475" max="9475" width="15.7109375" customWidth="1"/>
    <col min="9476" max="9476" width="16.85546875" customWidth="1"/>
    <col min="9477" max="9477" width="1.28515625" customWidth="1"/>
    <col min="9478" max="9478" width="11.28515625" customWidth="1"/>
    <col min="9479" max="9479" width="75.42578125" customWidth="1"/>
    <col min="9729" max="9729" width="5.140625" customWidth="1"/>
    <col min="9730" max="9730" width="56.7109375" customWidth="1"/>
    <col min="9731" max="9731" width="15.7109375" customWidth="1"/>
    <col min="9732" max="9732" width="16.85546875" customWidth="1"/>
    <col min="9733" max="9733" width="1.28515625" customWidth="1"/>
    <col min="9734" max="9734" width="11.28515625" customWidth="1"/>
    <col min="9735" max="9735" width="75.42578125" customWidth="1"/>
    <col min="9985" max="9985" width="5.140625" customWidth="1"/>
    <col min="9986" max="9986" width="56.7109375" customWidth="1"/>
    <col min="9987" max="9987" width="15.7109375" customWidth="1"/>
    <col min="9988" max="9988" width="16.85546875" customWidth="1"/>
    <col min="9989" max="9989" width="1.28515625" customWidth="1"/>
    <col min="9990" max="9990" width="11.28515625" customWidth="1"/>
    <col min="9991" max="9991" width="75.42578125" customWidth="1"/>
    <col min="10241" max="10241" width="5.140625" customWidth="1"/>
    <col min="10242" max="10242" width="56.7109375" customWidth="1"/>
    <col min="10243" max="10243" width="15.7109375" customWidth="1"/>
    <col min="10244" max="10244" width="16.85546875" customWidth="1"/>
    <col min="10245" max="10245" width="1.28515625" customWidth="1"/>
    <col min="10246" max="10246" width="11.28515625" customWidth="1"/>
    <col min="10247" max="10247" width="75.42578125" customWidth="1"/>
    <col min="10497" max="10497" width="5.140625" customWidth="1"/>
    <col min="10498" max="10498" width="56.7109375" customWidth="1"/>
    <col min="10499" max="10499" width="15.7109375" customWidth="1"/>
    <col min="10500" max="10500" width="16.85546875" customWidth="1"/>
    <col min="10501" max="10501" width="1.28515625" customWidth="1"/>
    <col min="10502" max="10502" width="11.28515625" customWidth="1"/>
    <col min="10503" max="10503" width="75.42578125" customWidth="1"/>
    <col min="10753" max="10753" width="5.140625" customWidth="1"/>
    <col min="10754" max="10754" width="56.7109375" customWidth="1"/>
    <col min="10755" max="10755" width="15.7109375" customWidth="1"/>
    <col min="10756" max="10756" width="16.85546875" customWidth="1"/>
    <col min="10757" max="10757" width="1.28515625" customWidth="1"/>
    <col min="10758" max="10758" width="11.28515625" customWidth="1"/>
    <col min="10759" max="10759" width="75.42578125" customWidth="1"/>
    <col min="11009" max="11009" width="5.140625" customWidth="1"/>
    <col min="11010" max="11010" width="56.7109375" customWidth="1"/>
    <col min="11011" max="11011" width="15.7109375" customWidth="1"/>
    <col min="11012" max="11012" width="16.85546875" customWidth="1"/>
    <col min="11013" max="11013" width="1.28515625" customWidth="1"/>
    <col min="11014" max="11014" width="11.28515625" customWidth="1"/>
    <col min="11015" max="11015" width="75.42578125" customWidth="1"/>
    <col min="11265" max="11265" width="5.140625" customWidth="1"/>
    <col min="11266" max="11266" width="56.7109375" customWidth="1"/>
    <col min="11267" max="11267" width="15.7109375" customWidth="1"/>
    <col min="11268" max="11268" width="16.85546875" customWidth="1"/>
    <col min="11269" max="11269" width="1.28515625" customWidth="1"/>
    <col min="11270" max="11270" width="11.28515625" customWidth="1"/>
    <col min="11271" max="11271" width="75.42578125" customWidth="1"/>
    <col min="11521" max="11521" width="5.140625" customWidth="1"/>
    <col min="11522" max="11522" width="56.7109375" customWidth="1"/>
    <col min="11523" max="11523" width="15.7109375" customWidth="1"/>
    <col min="11524" max="11524" width="16.85546875" customWidth="1"/>
    <col min="11525" max="11525" width="1.28515625" customWidth="1"/>
    <col min="11526" max="11526" width="11.28515625" customWidth="1"/>
    <col min="11527" max="11527" width="75.42578125" customWidth="1"/>
    <col min="11777" max="11777" width="5.140625" customWidth="1"/>
    <col min="11778" max="11778" width="56.7109375" customWidth="1"/>
    <col min="11779" max="11779" width="15.7109375" customWidth="1"/>
    <col min="11780" max="11780" width="16.85546875" customWidth="1"/>
    <col min="11781" max="11781" width="1.28515625" customWidth="1"/>
    <col min="11782" max="11782" width="11.28515625" customWidth="1"/>
    <col min="11783" max="11783" width="75.42578125" customWidth="1"/>
    <col min="12033" max="12033" width="5.140625" customWidth="1"/>
    <col min="12034" max="12034" width="56.7109375" customWidth="1"/>
    <col min="12035" max="12035" width="15.7109375" customWidth="1"/>
    <col min="12036" max="12036" width="16.85546875" customWidth="1"/>
    <col min="12037" max="12037" width="1.28515625" customWidth="1"/>
    <col min="12038" max="12038" width="11.28515625" customWidth="1"/>
    <col min="12039" max="12039" width="75.42578125" customWidth="1"/>
    <col min="12289" max="12289" width="5.140625" customWidth="1"/>
    <col min="12290" max="12290" width="56.7109375" customWidth="1"/>
    <col min="12291" max="12291" width="15.7109375" customWidth="1"/>
    <col min="12292" max="12292" width="16.85546875" customWidth="1"/>
    <col min="12293" max="12293" width="1.28515625" customWidth="1"/>
    <col min="12294" max="12294" width="11.28515625" customWidth="1"/>
    <col min="12295" max="12295" width="75.42578125" customWidth="1"/>
    <col min="12545" max="12545" width="5.140625" customWidth="1"/>
    <col min="12546" max="12546" width="56.7109375" customWidth="1"/>
    <col min="12547" max="12547" width="15.7109375" customWidth="1"/>
    <col min="12548" max="12548" width="16.85546875" customWidth="1"/>
    <col min="12549" max="12549" width="1.28515625" customWidth="1"/>
    <col min="12550" max="12550" width="11.28515625" customWidth="1"/>
    <col min="12551" max="12551" width="75.42578125" customWidth="1"/>
    <col min="12801" max="12801" width="5.140625" customWidth="1"/>
    <col min="12802" max="12802" width="56.7109375" customWidth="1"/>
    <col min="12803" max="12803" width="15.7109375" customWidth="1"/>
    <col min="12804" max="12804" width="16.85546875" customWidth="1"/>
    <col min="12805" max="12805" width="1.28515625" customWidth="1"/>
    <col min="12806" max="12806" width="11.28515625" customWidth="1"/>
    <col min="12807" max="12807" width="75.42578125" customWidth="1"/>
    <col min="13057" max="13057" width="5.140625" customWidth="1"/>
    <col min="13058" max="13058" width="56.7109375" customWidth="1"/>
    <col min="13059" max="13059" width="15.7109375" customWidth="1"/>
    <col min="13060" max="13060" width="16.85546875" customWidth="1"/>
    <col min="13061" max="13061" width="1.28515625" customWidth="1"/>
    <col min="13062" max="13062" width="11.28515625" customWidth="1"/>
    <col min="13063" max="13063" width="75.42578125" customWidth="1"/>
    <col min="13313" max="13313" width="5.140625" customWidth="1"/>
    <col min="13314" max="13314" width="56.7109375" customWidth="1"/>
    <col min="13315" max="13315" width="15.7109375" customWidth="1"/>
    <col min="13316" max="13316" width="16.85546875" customWidth="1"/>
    <col min="13317" max="13317" width="1.28515625" customWidth="1"/>
    <col min="13318" max="13318" width="11.28515625" customWidth="1"/>
    <col min="13319" max="13319" width="75.42578125" customWidth="1"/>
    <col min="13569" max="13569" width="5.140625" customWidth="1"/>
    <col min="13570" max="13570" width="56.7109375" customWidth="1"/>
    <col min="13571" max="13571" width="15.7109375" customWidth="1"/>
    <col min="13572" max="13572" width="16.85546875" customWidth="1"/>
    <col min="13573" max="13573" width="1.28515625" customWidth="1"/>
    <col min="13574" max="13574" width="11.28515625" customWidth="1"/>
    <col min="13575" max="13575" width="75.42578125" customWidth="1"/>
    <col min="13825" max="13825" width="5.140625" customWidth="1"/>
    <col min="13826" max="13826" width="56.7109375" customWidth="1"/>
    <col min="13827" max="13827" width="15.7109375" customWidth="1"/>
    <col min="13828" max="13828" width="16.85546875" customWidth="1"/>
    <col min="13829" max="13829" width="1.28515625" customWidth="1"/>
    <col min="13830" max="13830" width="11.28515625" customWidth="1"/>
    <col min="13831" max="13831" width="75.42578125" customWidth="1"/>
    <col min="14081" max="14081" width="5.140625" customWidth="1"/>
    <col min="14082" max="14082" width="56.7109375" customWidth="1"/>
    <col min="14083" max="14083" width="15.7109375" customWidth="1"/>
    <col min="14084" max="14084" width="16.85546875" customWidth="1"/>
    <col min="14085" max="14085" width="1.28515625" customWidth="1"/>
    <col min="14086" max="14086" width="11.28515625" customWidth="1"/>
    <col min="14087" max="14087" width="75.42578125" customWidth="1"/>
    <col min="14337" max="14337" width="5.140625" customWidth="1"/>
    <col min="14338" max="14338" width="56.7109375" customWidth="1"/>
    <col min="14339" max="14339" width="15.7109375" customWidth="1"/>
    <col min="14340" max="14340" width="16.85546875" customWidth="1"/>
    <col min="14341" max="14341" width="1.28515625" customWidth="1"/>
    <col min="14342" max="14342" width="11.28515625" customWidth="1"/>
    <col min="14343" max="14343" width="75.42578125" customWidth="1"/>
    <col min="14593" max="14593" width="5.140625" customWidth="1"/>
    <col min="14594" max="14594" width="56.7109375" customWidth="1"/>
    <col min="14595" max="14595" width="15.7109375" customWidth="1"/>
    <col min="14596" max="14596" width="16.85546875" customWidth="1"/>
    <col min="14597" max="14597" width="1.28515625" customWidth="1"/>
    <col min="14598" max="14598" width="11.28515625" customWidth="1"/>
    <col min="14599" max="14599" width="75.42578125" customWidth="1"/>
    <col min="14849" max="14849" width="5.140625" customWidth="1"/>
    <col min="14850" max="14850" width="56.7109375" customWidth="1"/>
    <col min="14851" max="14851" width="15.7109375" customWidth="1"/>
    <col min="14852" max="14852" width="16.85546875" customWidth="1"/>
    <col min="14853" max="14853" width="1.28515625" customWidth="1"/>
    <col min="14854" max="14854" width="11.28515625" customWidth="1"/>
    <col min="14855" max="14855" width="75.42578125" customWidth="1"/>
    <col min="15105" max="15105" width="5.140625" customWidth="1"/>
    <col min="15106" max="15106" width="56.7109375" customWidth="1"/>
    <col min="15107" max="15107" width="15.7109375" customWidth="1"/>
    <col min="15108" max="15108" width="16.85546875" customWidth="1"/>
    <col min="15109" max="15109" width="1.28515625" customWidth="1"/>
    <col min="15110" max="15110" width="11.28515625" customWidth="1"/>
    <col min="15111" max="15111" width="75.42578125" customWidth="1"/>
    <col min="15361" max="15361" width="5.140625" customWidth="1"/>
    <col min="15362" max="15362" width="56.7109375" customWidth="1"/>
    <col min="15363" max="15363" width="15.7109375" customWidth="1"/>
    <col min="15364" max="15364" width="16.85546875" customWidth="1"/>
    <col min="15365" max="15365" width="1.28515625" customWidth="1"/>
    <col min="15366" max="15366" width="11.28515625" customWidth="1"/>
    <col min="15367" max="15367" width="75.42578125" customWidth="1"/>
    <col min="15617" max="15617" width="5.140625" customWidth="1"/>
    <col min="15618" max="15618" width="56.7109375" customWidth="1"/>
    <col min="15619" max="15619" width="15.7109375" customWidth="1"/>
    <col min="15620" max="15620" width="16.85546875" customWidth="1"/>
    <col min="15621" max="15621" width="1.28515625" customWidth="1"/>
    <col min="15622" max="15622" width="11.28515625" customWidth="1"/>
    <col min="15623" max="15623" width="75.42578125" customWidth="1"/>
    <col min="15873" max="15873" width="5.140625" customWidth="1"/>
    <col min="15874" max="15874" width="56.7109375" customWidth="1"/>
    <col min="15875" max="15875" width="15.7109375" customWidth="1"/>
    <col min="15876" max="15876" width="16.85546875" customWidth="1"/>
    <col min="15877" max="15877" width="1.28515625" customWidth="1"/>
    <col min="15878" max="15878" width="11.28515625" customWidth="1"/>
    <col min="15879" max="15879" width="75.42578125" customWidth="1"/>
    <col min="16129" max="16129" width="5.140625" customWidth="1"/>
    <col min="16130" max="16130" width="56.7109375" customWidth="1"/>
    <col min="16131" max="16131" width="15.7109375" customWidth="1"/>
    <col min="16132" max="16132" width="16.85546875" customWidth="1"/>
    <col min="16133" max="16133" width="1.28515625" customWidth="1"/>
    <col min="16134" max="16134" width="11.28515625" customWidth="1"/>
    <col min="16135" max="16135" width="75.42578125" customWidth="1"/>
  </cols>
  <sheetData>
    <row r="1" spans="1:8" hidden="1"/>
    <row r="2" spans="1:8">
      <c r="A2" s="261" t="s">
        <v>0</v>
      </c>
      <c r="B2" s="261"/>
      <c r="C2" s="261"/>
      <c r="D2" s="261"/>
    </row>
    <row r="3" spans="1:8">
      <c r="B3" s="240"/>
      <c r="C3" s="240"/>
    </row>
    <row r="4" spans="1:8" ht="15" customHeight="1">
      <c r="A4" s="268" t="s">
        <v>65</v>
      </c>
      <c r="B4" s="268"/>
      <c r="C4" s="268"/>
      <c r="D4" s="268"/>
    </row>
    <row r="5" spans="1:8" ht="15" customHeight="1">
      <c r="A5" s="269" t="s">
        <v>66</v>
      </c>
      <c r="B5" s="269"/>
      <c r="C5" s="269"/>
      <c r="D5" s="269"/>
    </row>
    <row r="6" spans="1:8" ht="16.5" thickBot="1">
      <c r="A6" s="187"/>
      <c r="B6" s="188"/>
      <c r="C6" s="189"/>
      <c r="D6" s="190" t="s">
        <v>67</v>
      </c>
      <c r="F6" s="24"/>
      <c r="G6" s="25"/>
    </row>
    <row r="7" spans="1:8" ht="17.25" customHeight="1" thickBot="1">
      <c r="A7" s="264" t="s">
        <v>68</v>
      </c>
      <c r="B7" s="264" t="s">
        <v>69</v>
      </c>
      <c r="C7" s="264" t="s">
        <v>70</v>
      </c>
      <c r="D7" s="264"/>
      <c r="F7" s="262"/>
      <c r="G7" s="265"/>
    </row>
    <row r="8" spans="1:8" ht="31.9" customHeight="1" thickBot="1">
      <c r="A8" s="264"/>
      <c r="B8" s="264"/>
      <c r="C8" s="72" t="s">
        <v>71</v>
      </c>
      <c r="D8" s="72" t="s">
        <v>72</v>
      </c>
      <c r="F8" s="262"/>
      <c r="G8" s="265"/>
    </row>
    <row r="9" spans="1:8" ht="25.15" customHeight="1" thickBot="1">
      <c r="A9" s="65" t="s">
        <v>73</v>
      </c>
      <c r="B9" s="48" t="s">
        <v>74</v>
      </c>
      <c r="C9" s="49">
        <f>SUM(C10:C14)</f>
        <v>7626541.1200000001</v>
      </c>
      <c r="D9" s="49">
        <f>SUM(D10:D14)</f>
        <v>7266987.0700000003</v>
      </c>
      <c r="E9" s="26"/>
      <c r="F9" s="27"/>
      <c r="G9" s="28"/>
      <c r="H9" s="26"/>
    </row>
    <row r="10" spans="1:8" ht="25.15" customHeight="1" thickBot="1">
      <c r="A10" s="65" t="s">
        <v>75</v>
      </c>
      <c r="B10" s="48" t="s">
        <v>76</v>
      </c>
      <c r="C10" s="49">
        <f>366+187.13</f>
        <v>553.13</v>
      </c>
      <c r="D10" s="49">
        <f>366+220.92</f>
        <v>586.91999999999996</v>
      </c>
      <c r="E10" s="26"/>
      <c r="F10" s="29"/>
      <c r="G10" s="30"/>
      <c r="H10" s="26"/>
    </row>
    <row r="11" spans="1:8" ht="25.15" customHeight="1" thickBot="1">
      <c r="A11" s="65" t="s">
        <v>77</v>
      </c>
      <c r="B11" s="48" t="s">
        <v>78</v>
      </c>
      <c r="C11" s="49">
        <f>3961380.79+3652089.52+12517.68</f>
        <v>7625987.9900000002</v>
      </c>
      <c r="D11" s="49">
        <f>3809533.68+3442088.78+14777.69</f>
        <v>7266400.1500000004</v>
      </c>
      <c r="E11" s="26"/>
      <c r="F11" s="29"/>
      <c r="G11" s="30"/>
      <c r="H11" s="26"/>
    </row>
    <row r="12" spans="1:8" ht="25.15" customHeight="1" thickBot="1">
      <c r="A12" s="65" t="s">
        <v>79</v>
      </c>
      <c r="B12" s="48" t="s">
        <v>80</v>
      </c>
      <c r="C12" s="49">
        <v>0</v>
      </c>
      <c r="D12" s="49">
        <v>0</v>
      </c>
      <c r="E12" s="26"/>
      <c r="F12" s="29"/>
      <c r="G12" s="30"/>
      <c r="H12" s="26"/>
    </row>
    <row r="13" spans="1:8" ht="25.15" customHeight="1" thickBot="1">
      <c r="A13" s="65" t="s">
        <v>81</v>
      </c>
      <c r="B13" s="48" t="s">
        <v>82</v>
      </c>
      <c r="C13" s="49">
        <v>0</v>
      </c>
      <c r="D13" s="49">
        <v>0</v>
      </c>
      <c r="E13" s="26"/>
      <c r="F13" s="29"/>
      <c r="G13" s="30"/>
      <c r="H13" s="26"/>
    </row>
    <row r="14" spans="1:8" ht="25.15" customHeight="1" thickBot="1">
      <c r="A14" s="65" t="s">
        <v>83</v>
      </c>
      <c r="B14" s="48" t="s">
        <v>84</v>
      </c>
      <c r="C14" s="49">
        <v>0</v>
      </c>
      <c r="D14" s="49">
        <v>0</v>
      </c>
      <c r="E14" s="26"/>
      <c r="F14" s="29"/>
      <c r="G14" s="30"/>
      <c r="H14" s="26"/>
    </row>
    <row r="15" spans="1:8" ht="25.15" customHeight="1" thickBot="1">
      <c r="A15" s="65" t="s">
        <v>85</v>
      </c>
      <c r="B15" s="48" t="s">
        <v>86</v>
      </c>
      <c r="C15" s="49">
        <f>SUM(C16:C19)</f>
        <v>3852835.96</v>
      </c>
      <c r="D15" s="49">
        <f>SUM(D16:D19)</f>
        <v>4282314.79</v>
      </c>
      <c r="E15" s="26"/>
      <c r="F15" s="27"/>
      <c r="G15" s="28"/>
      <c r="H15" s="26"/>
    </row>
    <row r="16" spans="1:8" ht="25.15" customHeight="1" thickBot="1">
      <c r="A16" s="65" t="s">
        <v>75</v>
      </c>
      <c r="B16" s="48" t="s">
        <v>87</v>
      </c>
      <c r="C16" s="49">
        <f>0+8813.88</f>
        <v>8813.8799999999992</v>
      </c>
      <c r="D16" s="49">
        <f>0+10357.86</f>
        <v>10357.86</v>
      </c>
      <c r="E16" s="32"/>
      <c r="F16" s="29"/>
      <c r="G16" s="30"/>
      <c r="H16" s="26"/>
    </row>
    <row r="17" spans="1:8" ht="25.15" customHeight="1" thickBot="1">
      <c r="A17" s="65" t="s">
        <v>77</v>
      </c>
      <c r="B17" s="48" t="s">
        <v>88</v>
      </c>
      <c r="C17" s="49">
        <f>1899862.67+196385.38-887503.59</f>
        <v>1208744.46</v>
      </c>
      <c r="D17" s="49">
        <f>165247.37+1759955.77-490902.76-49-24450</f>
        <v>1409801.3800000001</v>
      </c>
      <c r="E17" s="26"/>
      <c r="F17" s="29"/>
      <c r="G17" s="33"/>
      <c r="H17" s="26"/>
    </row>
    <row r="18" spans="1:8" ht="25.15" customHeight="1" thickBot="1">
      <c r="A18" s="65" t="s">
        <v>79</v>
      </c>
      <c r="B18" s="48" t="s">
        <v>89</v>
      </c>
      <c r="C18" s="49">
        <f>1952672.51+661409.99+21195.12</f>
        <v>2635277.62</v>
      </c>
      <c r="D18" s="49">
        <f>649703.73+2130913.96+25021.8</f>
        <v>2805639.4899999998</v>
      </c>
      <c r="E18" s="26"/>
      <c r="F18" s="29"/>
      <c r="G18" s="33"/>
      <c r="H18" s="26"/>
    </row>
    <row r="19" spans="1:8" ht="25.15" customHeight="1" thickBot="1">
      <c r="A19" s="65" t="s">
        <v>81</v>
      </c>
      <c r="B19" s="48" t="s">
        <v>90</v>
      </c>
      <c r="C19" s="52"/>
      <c r="D19" s="52">
        <v>56516.06</v>
      </c>
      <c r="E19" s="26"/>
      <c r="F19" s="29"/>
      <c r="G19" s="33"/>
      <c r="H19" s="26"/>
    </row>
    <row r="20" spans="1:8" ht="25.15" customHeight="1" thickBot="1">
      <c r="A20" s="65" t="s">
        <v>91</v>
      </c>
      <c r="B20" s="48" t="s">
        <v>92</v>
      </c>
      <c r="C20" s="52"/>
      <c r="D20" s="52"/>
      <c r="E20" s="26"/>
      <c r="F20" s="29"/>
      <c r="G20" s="33"/>
      <c r="H20" s="26"/>
    </row>
    <row r="21" spans="1:8" ht="25.15" customHeight="1" thickBot="1">
      <c r="A21" s="270" t="s">
        <v>93</v>
      </c>
      <c r="B21" s="270"/>
      <c r="C21" s="49">
        <f>C9+C15+C20</f>
        <v>11479377.08</v>
      </c>
      <c r="D21" s="49">
        <f>D9+D15+D20</f>
        <v>11549301.859999999</v>
      </c>
      <c r="E21" s="26"/>
      <c r="F21" s="31"/>
      <c r="G21" s="34"/>
      <c r="H21" s="26"/>
    </row>
    <row r="22" spans="1:8" ht="17.25" customHeight="1" thickBot="1">
      <c r="A22" s="264" t="s">
        <v>68</v>
      </c>
      <c r="B22" s="264" t="s">
        <v>94</v>
      </c>
      <c r="C22" s="270" t="s">
        <v>70</v>
      </c>
      <c r="D22" s="270"/>
      <c r="F22" s="262"/>
      <c r="G22" s="263"/>
    </row>
    <row r="23" spans="1:8" ht="15.75" thickBot="1">
      <c r="A23" s="264"/>
      <c r="B23" s="264"/>
      <c r="C23" s="50" t="s">
        <v>71</v>
      </c>
      <c r="D23" s="50" t="s">
        <v>95</v>
      </c>
      <c r="F23" s="262"/>
      <c r="G23" s="263"/>
    </row>
    <row r="24" spans="1:8" ht="25.15" customHeight="1" thickBot="1">
      <c r="A24" s="65" t="s">
        <v>73</v>
      </c>
      <c r="B24" s="48" t="s">
        <v>96</v>
      </c>
      <c r="C24" s="49">
        <f>SUM(C25:C28)</f>
        <v>4836618.2100000009</v>
      </c>
      <c r="D24" s="49">
        <f>SUM(D25:D28)</f>
        <v>4294213.63</v>
      </c>
      <c r="E24" s="26"/>
      <c r="F24" s="27"/>
      <c r="G24" s="35"/>
      <c r="H24" s="26"/>
    </row>
    <row r="25" spans="1:8" ht="25.15" customHeight="1" thickBot="1">
      <c r="A25" s="65" t="s">
        <v>75</v>
      </c>
      <c r="B25" s="48" t="s">
        <v>97</v>
      </c>
      <c r="C25" s="52">
        <f>2745927.09+1949103.01+345716.66-324894.72</f>
        <v>4715852.04</v>
      </c>
      <c r="D25" s="52">
        <f>1949103.01+2936444.57+408134.18-324894.72</f>
        <v>4968787.04</v>
      </c>
      <c r="E25" s="26"/>
      <c r="F25" s="29"/>
      <c r="G25" s="36"/>
      <c r="H25" s="26"/>
    </row>
    <row r="26" spans="1:8" ht="25.15" customHeight="1" thickBot="1">
      <c r="A26" s="65" t="s">
        <v>77</v>
      </c>
      <c r="B26" s="48" t="s">
        <v>98</v>
      </c>
      <c r="C26" s="52">
        <v>1061001.92</v>
      </c>
      <c r="D26" s="52">
        <v>1061001.92</v>
      </c>
      <c r="E26" s="26"/>
      <c r="F26" s="29"/>
      <c r="G26" s="36"/>
      <c r="H26" s="26"/>
    </row>
    <row r="27" spans="1:8" ht="25.15" customHeight="1" thickBot="1">
      <c r="A27" s="65" t="s">
        <v>79</v>
      </c>
      <c r="B27" s="48" t="s">
        <v>99</v>
      </c>
      <c r="C27" s="52">
        <f>-1023727.53-431920.42+324894.72</f>
        <v>-1130753.23</v>
      </c>
      <c r="D27" s="52">
        <f>-1594728.61-509901.63+324894.72</f>
        <v>-1779735.5200000003</v>
      </c>
      <c r="E27" s="26"/>
      <c r="F27" s="29"/>
      <c r="G27" s="36"/>
      <c r="H27" s="26"/>
    </row>
    <row r="28" spans="1:8" ht="25.15" customHeight="1" thickBot="1">
      <c r="A28" s="65" t="s">
        <v>81</v>
      </c>
      <c r="B28" s="48" t="s">
        <v>100</v>
      </c>
      <c r="C28" s="52">
        <f>100599.76+89917.72</f>
        <v>190517.47999999998</v>
      </c>
      <c r="D28" s="222">
        <f>3249.59+30683.3+10227.3</f>
        <v>44160.19</v>
      </c>
      <c r="E28" s="26"/>
      <c r="F28" s="29"/>
      <c r="G28" s="36"/>
      <c r="H28" s="26"/>
    </row>
    <row r="29" spans="1:8" ht="25.15" customHeight="1" thickBot="1">
      <c r="A29" s="65" t="s">
        <v>85</v>
      </c>
      <c r="B29" s="48" t="s">
        <v>101</v>
      </c>
      <c r="C29" s="49">
        <f>SUM(C30:C33)</f>
        <v>6642758.8699999992</v>
      </c>
      <c r="D29" s="49">
        <f>SUM(D30:D33)</f>
        <v>7255088.2300000004</v>
      </c>
      <c r="E29" s="26"/>
      <c r="F29" s="27"/>
      <c r="G29" s="35"/>
      <c r="H29" s="26"/>
    </row>
    <row r="30" spans="1:8" ht="25.15" customHeight="1" thickBot="1">
      <c r="A30" s="65" t="s">
        <v>75</v>
      </c>
      <c r="B30" s="48" t="s">
        <v>102</v>
      </c>
      <c r="C30" s="49"/>
      <c r="D30" s="49">
        <v>661551.48</v>
      </c>
      <c r="E30" s="26"/>
      <c r="F30" s="29"/>
      <c r="G30" s="36"/>
      <c r="H30" s="26"/>
    </row>
    <row r="31" spans="1:8" ht="25.15" customHeight="1" thickBot="1">
      <c r="A31" s="65" t="s">
        <v>77</v>
      </c>
      <c r="B31" s="53" t="s">
        <v>103</v>
      </c>
      <c r="C31" s="49">
        <v>0</v>
      </c>
      <c r="D31" s="49">
        <v>0</v>
      </c>
      <c r="E31" s="26"/>
      <c r="F31" s="29"/>
      <c r="G31" s="36"/>
      <c r="H31" s="26"/>
    </row>
    <row r="32" spans="1:8" ht="25.15" customHeight="1" thickBot="1">
      <c r="A32" s="65" t="s">
        <v>79</v>
      </c>
      <c r="B32" s="53" t="s">
        <v>104</v>
      </c>
      <c r="C32" s="49">
        <f>1908702.29+52497.72+120103.69-887503.59</f>
        <v>1193800.1099999999</v>
      </c>
      <c r="D32" s="49">
        <f>24497.05+1440052.15+141787.86-56342.2-434560.56-49-10227.3-24450</f>
        <v>1080708</v>
      </c>
      <c r="E32" s="26"/>
      <c r="F32" s="29"/>
      <c r="G32" s="36"/>
      <c r="H32" s="26"/>
    </row>
    <row r="33" spans="1:8" ht="25.15" customHeight="1" thickBot="1">
      <c r="A33" s="65" t="s">
        <v>81</v>
      </c>
      <c r="B33" s="48" t="s">
        <v>105</v>
      </c>
      <c r="C33" s="49">
        <f>3021778.44+2427180.32</f>
        <v>5448958.7599999998</v>
      </c>
      <c r="D33" s="49">
        <f>2290548.09+3222280.66</f>
        <v>5512828.75</v>
      </c>
      <c r="E33" s="26"/>
      <c r="F33" s="29"/>
      <c r="G33" s="36"/>
      <c r="H33" s="26"/>
    </row>
    <row r="34" spans="1:8" ht="25.15" customHeight="1" thickBot="1">
      <c r="A34" s="51"/>
      <c r="B34" s="65" t="s">
        <v>106</v>
      </c>
      <c r="C34" s="49">
        <f>C24+C29</f>
        <v>11479377.08</v>
      </c>
      <c r="D34" s="49">
        <f>D24+D29</f>
        <v>11549301.859999999</v>
      </c>
      <c r="F34" s="37"/>
      <c r="G34" s="38"/>
    </row>
    <row r="35" spans="1:8" ht="15.75">
      <c r="B35" s="24"/>
    </row>
    <row r="36" spans="1:8" ht="15.75">
      <c r="B36" s="24"/>
    </row>
    <row r="37" spans="1:8">
      <c r="A37" s="39" t="s">
        <v>107</v>
      </c>
      <c r="B37" s="40"/>
    </row>
    <row r="38" spans="1:8">
      <c r="A38" s="41" t="s">
        <v>60</v>
      </c>
      <c r="B38" s="42"/>
    </row>
    <row r="39" spans="1:8">
      <c r="A39" s="43"/>
      <c r="B39" s="40"/>
    </row>
    <row r="40" spans="1:8">
      <c r="A40" s="43"/>
      <c r="B40" s="40" t="s">
        <v>61</v>
      </c>
      <c r="C40" s="266" t="s">
        <v>62</v>
      </c>
      <c r="D40" s="266"/>
      <c r="E40" s="44"/>
    </row>
    <row r="41" spans="1:8">
      <c r="A41" s="41" t="s">
        <v>63</v>
      </c>
      <c r="B41" s="42"/>
      <c r="C41" s="271" t="s">
        <v>108</v>
      </c>
      <c r="D41" s="271"/>
      <c r="E41" s="46"/>
      <c r="F41" s="46"/>
    </row>
    <row r="42" spans="1:8">
      <c r="A42" s="41"/>
      <c r="B42" s="41"/>
    </row>
    <row r="43" spans="1:8">
      <c r="A43" s="43"/>
      <c r="B43" s="40"/>
    </row>
    <row r="44" spans="1:8" ht="30.2" customHeight="1">
      <c r="A44" s="267"/>
      <c r="B44" s="267"/>
      <c r="C44" s="267"/>
      <c r="D44" s="267"/>
      <c r="E44" s="242"/>
      <c r="F44" s="242"/>
    </row>
    <row r="45" spans="1:8">
      <c r="A45" s="43"/>
      <c r="B45" s="40"/>
    </row>
    <row r="46" spans="1:8" ht="15.75">
      <c r="B46" s="24"/>
    </row>
    <row r="47" spans="1:8" ht="15.75">
      <c r="B47" s="24"/>
    </row>
    <row r="48" spans="1:8" ht="15.75">
      <c r="B48" s="24"/>
    </row>
    <row r="49" spans="2:2" ht="15.75">
      <c r="B49" s="24"/>
    </row>
    <row r="50" spans="2:2" ht="15.75">
      <c r="B50" s="24"/>
    </row>
    <row r="51" spans="2:2" ht="15.75">
      <c r="B51" s="24"/>
    </row>
    <row r="52" spans="2:2" ht="15.75">
      <c r="B52" s="24"/>
    </row>
    <row r="53" spans="2:2" ht="15.75">
      <c r="B53" s="24"/>
    </row>
    <row r="54" spans="2:2" ht="15.75">
      <c r="B54" s="24"/>
    </row>
    <row r="55" spans="2:2" ht="15.75">
      <c r="B55" s="24"/>
    </row>
    <row r="56" spans="2:2" ht="15.75">
      <c r="B56" s="24"/>
    </row>
    <row r="57" spans="2:2" ht="15.75">
      <c r="B57" s="24"/>
    </row>
    <row r="58" spans="2:2" ht="15.75">
      <c r="B58" s="24"/>
    </row>
    <row r="59" spans="2:2" ht="15.75">
      <c r="B59" s="24"/>
    </row>
    <row r="60" spans="2:2" ht="15.75">
      <c r="B60" s="24"/>
    </row>
    <row r="61" spans="2:2" ht="15.75">
      <c r="B61" s="24"/>
    </row>
    <row r="62" spans="2:2" ht="15.75">
      <c r="B62" s="24"/>
    </row>
    <row r="63" spans="2:2" ht="15.75">
      <c r="B63" s="24"/>
    </row>
    <row r="64" spans="2:2" ht="15.75">
      <c r="B64" s="24"/>
    </row>
    <row r="65" spans="2:2" ht="15.75">
      <c r="B65" s="24"/>
    </row>
    <row r="66" spans="2:2" ht="15.75">
      <c r="B66" s="24"/>
    </row>
    <row r="67" spans="2:2" ht="15.75">
      <c r="B67" s="24"/>
    </row>
    <row r="68" spans="2:2" ht="15.75">
      <c r="B68" s="24"/>
    </row>
    <row r="69" spans="2:2" ht="15.75">
      <c r="B69" s="24"/>
    </row>
    <row r="70" spans="2:2" ht="15.75">
      <c r="B70" s="24"/>
    </row>
    <row r="71" spans="2:2" ht="15.75">
      <c r="B71" s="24"/>
    </row>
    <row r="72" spans="2:2" ht="15.75">
      <c r="B72" s="24"/>
    </row>
    <row r="73" spans="2:2" ht="15.75">
      <c r="B73" s="24"/>
    </row>
    <row r="74" spans="2:2" ht="15.75">
      <c r="B74" s="24"/>
    </row>
    <row r="75" spans="2:2" ht="15.75">
      <c r="B75" s="24"/>
    </row>
    <row r="76" spans="2:2" ht="15.75">
      <c r="B76" s="24"/>
    </row>
    <row r="77" spans="2:2" ht="15.75">
      <c r="B77" s="24"/>
    </row>
    <row r="78" spans="2:2" ht="15.75">
      <c r="B78" s="24"/>
    </row>
    <row r="79" spans="2:2" ht="15.75">
      <c r="B79" s="24"/>
    </row>
    <row r="80" spans="2:2" ht="15.75">
      <c r="B80" s="24"/>
    </row>
    <row r="81" spans="2:2" ht="15.75">
      <c r="B81" s="24"/>
    </row>
    <row r="82" spans="2:2" ht="15.75">
      <c r="B82" s="24"/>
    </row>
    <row r="83" spans="2:2" ht="15.75">
      <c r="B83" s="24"/>
    </row>
    <row r="84" spans="2:2" ht="15.75">
      <c r="B84" s="24"/>
    </row>
    <row r="85" spans="2:2" ht="15.75">
      <c r="B85" s="24"/>
    </row>
    <row r="86" spans="2:2" ht="15.75">
      <c r="B86" s="24"/>
    </row>
    <row r="87" spans="2:2" ht="15.75">
      <c r="B87" s="24"/>
    </row>
    <row r="88" spans="2:2" ht="15.75">
      <c r="B88" s="24"/>
    </row>
    <row r="89" spans="2:2" ht="15.75">
      <c r="B89" s="24"/>
    </row>
    <row r="90" spans="2:2" ht="15.75">
      <c r="B90" s="24"/>
    </row>
    <row r="91" spans="2:2" ht="15.75">
      <c r="B91" s="24"/>
    </row>
    <row r="92" spans="2:2" ht="15.75">
      <c r="B92" s="24"/>
    </row>
    <row r="93" spans="2:2" ht="15.75">
      <c r="B93" s="24"/>
    </row>
    <row r="94" spans="2:2" ht="15.75">
      <c r="B94" s="24"/>
    </row>
    <row r="95" spans="2:2" ht="15.75">
      <c r="B95" s="24"/>
    </row>
    <row r="96" spans="2:2" ht="15.75">
      <c r="B96" s="24"/>
    </row>
    <row r="97" spans="2:2" ht="15.75">
      <c r="B97" s="24"/>
    </row>
    <row r="98" spans="2:2" ht="15.75">
      <c r="B98" s="24"/>
    </row>
    <row r="99" spans="2:2" ht="15.75">
      <c r="B99" s="24"/>
    </row>
    <row r="100" spans="2:2" ht="15.75">
      <c r="B100" s="24"/>
    </row>
    <row r="101" spans="2:2" ht="15.75">
      <c r="B101" s="24"/>
    </row>
    <row r="102" spans="2:2" ht="15.75">
      <c r="B102" s="24"/>
    </row>
    <row r="103" spans="2:2" ht="15.75">
      <c r="B103" s="24"/>
    </row>
    <row r="104" spans="2:2" ht="15.75">
      <c r="B104" s="24"/>
    </row>
    <row r="105" spans="2:2" ht="15.75">
      <c r="B105" s="24"/>
    </row>
    <row r="106" spans="2:2" ht="15.75">
      <c r="B106" s="24"/>
    </row>
    <row r="107" spans="2:2" ht="15.75">
      <c r="B107" s="24"/>
    </row>
    <row r="108" spans="2:2" ht="15.75">
      <c r="B108" s="24"/>
    </row>
    <row r="109" spans="2:2" ht="15.75">
      <c r="B109" s="24"/>
    </row>
    <row r="110" spans="2:2" ht="15.75">
      <c r="B110" s="24"/>
    </row>
    <row r="111" spans="2:2" ht="15.75">
      <c r="B111" s="24"/>
    </row>
    <row r="112" spans="2:2" ht="15.75">
      <c r="B112" s="24"/>
    </row>
    <row r="113" spans="2:2" ht="15.75">
      <c r="B113" s="24"/>
    </row>
    <row r="114" spans="2:2" ht="15.75">
      <c r="B114" s="24"/>
    </row>
    <row r="115" spans="2:2" ht="15.75">
      <c r="B115" s="24"/>
    </row>
    <row r="116" spans="2:2" ht="15.75">
      <c r="B116" s="24"/>
    </row>
    <row r="117" spans="2:2" ht="15.75">
      <c r="B117" s="24"/>
    </row>
    <row r="118" spans="2:2" ht="15.75">
      <c r="B118" s="24"/>
    </row>
    <row r="119" spans="2:2" ht="15.75">
      <c r="B119" s="24"/>
    </row>
    <row r="120" spans="2:2" ht="15.75">
      <c r="B120" s="24"/>
    </row>
    <row r="121" spans="2:2" ht="15.75">
      <c r="B121" s="24"/>
    </row>
    <row r="122" spans="2:2" ht="15.75">
      <c r="B122" s="24"/>
    </row>
    <row r="123" spans="2:2" ht="15.75">
      <c r="B123" s="24"/>
    </row>
    <row r="124" spans="2:2" ht="15.75">
      <c r="B124" s="24"/>
    </row>
    <row r="125" spans="2:2" ht="15.75">
      <c r="B125" s="24"/>
    </row>
    <row r="126" spans="2:2" ht="15.75">
      <c r="B126" s="24"/>
    </row>
    <row r="127" spans="2:2" ht="15.75">
      <c r="B127" s="24"/>
    </row>
    <row r="128" spans="2:2" ht="15.75">
      <c r="B128" s="24"/>
    </row>
    <row r="129" spans="2:2" ht="15.75">
      <c r="B129" s="24"/>
    </row>
    <row r="130" spans="2:2" ht="15.75">
      <c r="B130" s="24"/>
    </row>
    <row r="131" spans="2:2" ht="15.75">
      <c r="B131" s="24"/>
    </row>
    <row r="132" spans="2:2" ht="15.75">
      <c r="B132" s="24"/>
    </row>
    <row r="133" spans="2:2" ht="15.75">
      <c r="B133" s="24"/>
    </row>
    <row r="134" spans="2:2" ht="15.75">
      <c r="B134" s="24"/>
    </row>
    <row r="135" spans="2:2" ht="15.75">
      <c r="B135" s="24"/>
    </row>
    <row r="136" spans="2:2" ht="15.75">
      <c r="B136" s="24"/>
    </row>
    <row r="137" spans="2:2" ht="15.75">
      <c r="B137" s="24"/>
    </row>
    <row r="138" spans="2:2" ht="15.75">
      <c r="B138" s="24"/>
    </row>
    <row r="139" spans="2:2" ht="15.75">
      <c r="B139" s="24"/>
    </row>
    <row r="140" spans="2:2" ht="15.75">
      <c r="B140" s="24"/>
    </row>
    <row r="141" spans="2:2" ht="15.75">
      <c r="B141" s="24"/>
    </row>
    <row r="142" spans="2:2" ht="15.75">
      <c r="B142" s="24"/>
    </row>
    <row r="143" spans="2:2" ht="15.75">
      <c r="B143" s="24"/>
    </row>
    <row r="144" spans="2:2" ht="15.75">
      <c r="B144" s="24"/>
    </row>
    <row r="145" spans="2:2" ht="15.75">
      <c r="B145" s="24"/>
    </row>
    <row r="146" spans="2:2" ht="15.75">
      <c r="B146" s="24"/>
    </row>
    <row r="147" spans="2:2" ht="15.75">
      <c r="B147" s="24"/>
    </row>
    <row r="148" spans="2:2" ht="15.75">
      <c r="B148" s="24"/>
    </row>
    <row r="149" spans="2:2" ht="15.75">
      <c r="B149" s="24"/>
    </row>
    <row r="150" spans="2:2" ht="15.75">
      <c r="B150" s="24"/>
    </row>
    <row r="151" spans="2:2" ht="15.75">
      <c r="B151" s="24"/>
    </row>
    <row r="152" spans="2:2" ht="15.75">
      <c r="B152" s="24"/>
    </row>
    <row r="153" spans="2:2" ht="15.75">
      <c r="B153" s="24"/>
    </row>
    <row r="154" spans="2:2" ht="15.75">
      <c r="B154" s="24"/>
    </row>
    <row r="155" spans="2:2" ht="15.75">
      <c r="B155" s="24"/>
    </row>
    <row r="156" spans="2:2" ht="15.75">
      <c r="B156" s="24"/>
    </row>
    <row r="157" spans="2:2" ht="15.75">
      <c r="B157" s="24"/>
    </row>
    <row r="158" spans="2:2" ht="15.75">
      <c r="B158" s="24"/>
    </row>
    <row r="159" spans="2:2" ht="15.75">
      <c r="B159" s="24"/>
    </row>
    <row r="160" spans="2:2" ht="15.75">
      <c r="B160" s="24"/>
    </row>
    <row r="161" spans="2:2" ht="15.75">
      <c r="B161" s="24"/>
    </row>
    <row r="162" spans="2:2" ht="15.75">
      <c r="B162" s="24"/>
    </row>
    <row r="163" spans="2:2" ht="15.75">
      <c r="B163" s="24"/>
    </row>
    <row r="164" spans="2:2" ht="15.75">
      <c r="B164" s="24"/>
    </row>
    <row r="165" spans="2:2" ht="15.75">
      <c r="B165" s="24"/>
    </row>
    <row r="166" spans="2:2" ht="15.75">
      <c r="B166" s="24"/>
    </row>
    <row r="167" spans="2:2" ht="15.75">
      <c r="B167" s="24"/>
    </row>
    <row r="168" spans="2:2" ht="15.75">
      <c r="B168" s="24"/>
    </row>
  </sheetData>
  <mergeCells count="17">
    <mergeCell ref="C40:D40"/>
    <mergeCell ref="A44:D44"/>
    <mergeCell ref="A4:D4"/>
    <mergeCell ref="A5:D5"/>
    <mergeCell ref="A21:B21"/>
    <mergeCell ref="A22:A23"/>
    <mergeCell ref="B22:B23"/>
    <mergeCell ref="C22:D22"/>
    <mergeCell ref="C41:D41"/>
    <mergeCell ref="A2:D2"/>
    <mergeCell ref="F22:F23"/>
    <mergeCell ref="G22:G23"/>
    <mergeCell ref="A7:A8"/>
    <mergeCell ref="B7:B8"/>
    <mergeCell ref="C7:D7"/>
    <mergeCell ref="F7:F8"/>
    <mergeCell ref="G7:G8"/>
  </mergeCells>
  <pageMargins left="0.7" right="0.7" top="0.75" bottom="0.75" header="0.3" footer="0.3"/>
  <pageSetup paperSize="9" scale="78" orientation="portrait" r:id="rId1"/>
  <rowBreaks count="1" manualBreakCount="1">
    <brk id="42" max="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61"/>
  <sheetViews>
    <sheetView view="pageBreakPreview" topLeftCell="A19" zoomScaleNormal="100" zoomScaleSheetLayoutView="100" workbookViewId="0">
      <selection activeCell="A30" sqref="A30"/>
    </sheetView>
  </sheetViews>
  <sheetFormatPr defaultRowHeight="15"/>
  <cols>
    <col min="1" max="1" width="9.140625" style="23" customWidth="1"/>
    <col min="2" max="2" width="61.28515625" style="47" customWidth="1"/>
    <col min="3" max="3" width="15.7109375" style="32" customWidth="1"/>
    <col min="4" max="4" width="16.85546875" style="32" customWidth="1"/>
    <col min="6" max="6" width="5.140625" style="23" customWidth="1"/>
    <col min="7" max="7" width="68" customWidth="1"/>
    <col min="257" max="257" width="5.140625" customWidth="1"/>
    <col min="258" max="258" width="57.85546875" customWidth="1"/>
    <col min="259" max="259" width="15.7109375" customWidth="1"/>
    <col min="260" max="260" width="16.85546875" customWidth="1"/>
    <col min="262" max="262" width="5.140625" customWidth="1"/>
    <col min="263" max="263" width="68" customWidth="1"/>
    <col min="513" max="513" width="5.140625" customWidth="1"/>
    <col min="514" max="514" width="57.85546875" customWidth="1"/>
    <col min="515" max="515" width="15.7109375" customWidth="1"/>
    <col min="516" max="516" width="16.85546875" customWidth="1"/>
    <col min="518" max="518" width="5.140625" customWidth="1"/>
    <col min="519" max="519" width="68" customWidth="1"/>
    <col min="769" max="769" width="5.140625" customWidth="1"/>
    <col min="770" max="770" width="57.85546875" customWidth="1"/>
    <col min="771" max="771" width="15.7109375" customWidth="1"/>
    <col min="772" max="772" width="16.85546875" customWidth="1"/>
    <col min="774" max="774" width="5.140625" customWidth="1"/>
    <col min="775" max="775" width="68" customWidth="1"/>
    <col min="1025" max="1025" width="5.140625" customWidth="1"/>
    <col min="1026" max="1026" width="57.85546875" customWidth="1"/>
    <col min="1027" max="1027" width="15.7109375" customWidth="1"/>
    <col min="1028" max="1028" width="16.85546875" customWidth="1"/>
    <col min="1030" max="1030" width="5.140625" customWidth="1"/>
    <col min="1031" max="1031" width="68" customWidth="1"/>
    <col min="1281" max="1281" width="5.140625" customWidth="1"/>
    <col min="1282" max="1282" width="57.85546875" customWidth="1"/>
    <col min="1283" max="1283" width="15.7109375" customWidth="1"/>
    <col min="1284" max="1284" width="16.85546875" customWidth="1"/>
    <col min="1286" max="1286" width="5.140625" customWidth="1"/>
    <col min="1287" max="1287" width="68" customWidth="1"/>
    <col min="1537" max="1537" width="5.140625" customWidth="1"/>
    <col min="1538" max="1538" width="57.85546875" customWidth="1"/>
    <col min="1539" max="1539" width="15.7109375" customWidth="1"/>
    <col min="1540" max="1540" width="16.85546875" customWidth="1"/>
    <col min="1542" max="1542" width="5.140625" customWidth="1"/>
    <col min="1543" max="1543" width="68" customWidth="1"/>
    <col min="1793" max="1793" width="5.140625" customWidth="1"/>
    <col min="1794" max="1794" width="57.85546875" customWidth="1"/>
    <col min="1795" max="1795" width="15.7109375" customWidth="1"/>
    <col min="1796" max="1796" width="16.85546875" customWidth="1"/>
    <col min="1798" max="1798" width="5.140625" customWidth="1"/>
    <col min="1799" max="1799" width="68" customWidth="1"/>
    <col min="2049" max="2049" width="5.140625" customWidth="1"/>
    <col min="2050" max="2050" width="57.85546875" customWidth="1"/>
    <col min="2051" max="2051" width="15.7109375" customWidth="1"/>
    <col min="2052" max="2052" width="16.85546875" customWidth="1"/>
    <col min="2054" max="2054" width="5.140625" customWidth="1"/>
    <col min="2055" max="2055" width="68" customWidth="1"/>
    <col min="2305" max="2305" width="5.140625" customWidth="1"/>
    <col min="2306" max="2306" width="57.85546875" customWidth="1"/>
    <col min="2307" max="2307" width="15.7109375" customWidth="1"/>
    <col min="2308" max="2308" width="16.85546875" customWidth="1"/>
    <col min="2310" max="2310" width="5.140625" customWidth="1"/>
    <col min="2311" max="2311" width="68" customWidth="1"/>
    <col min="2561" max="2561" width="5.140625" customWidth="1"/>
    <col min="2562" max="2562" width="57.85546875" customWidth="1"/>
    <col min="2563" max="2563" width="15.7109375" customWidth="1"/>
    <col min="2564" max="2564" width="16.85546875" customWidth="1"/>
    <col min="2566" max="2566" width="5.140625" customWidth="1"/>
    <col min="2567" max="2567" width="68" customWidth="1"/>
    <col min="2817" max="2817" width="5.140625" customWidth="1"/>
    <col min="2818" max="2818" width="57.85546875" customWidth="1"/>
    <col min="2819" max="2819" width="15.7109375" customWidth="1"/>
    <col min="2820" max="2820" width="16.85546875" customWidth="1"/>
    <col min="2822" max="2822" width="5.140625" customWidth="1"/>
    <col min="2823" max="2823" width="68" customWidth="1"/>
    <col min="3073" max="3073" width="5.140625" customWidth="1"/>
    <col min="3074" max="3074" width="57.85546875" customWidth="1"/>
    <col min="3075" max="3075" width="15.7109375" customWidth="1"/>
    <col min="3076" max="3076" width="16.85546875" customWidth="1"/>
    <col min="3078" max="3078" width="5.140625" customWidth="1"/>
    <col min="3079" max="3079" width="68" customWidth="1"/>
    <col min="3329" max="3329" width="5.140625" customWidth="1"/>
    <col min="3330" max="3330" width="57.85546875" customWidth="1"/>
    <col min="3331" max="3331" width="15.7109375" customWidth="1"/>
    <col min="3332" max="3332" width="16.85546875" customWidth="1"/>
    <col min="3334" max="3334" width="5.140625" customWidth="1"/>
    <col min="3335" max="3335" width="68" customWidth="1"/>
    <col min="3585" max="3585" width="5.140625" customWidth="1"/>
    <col min="3586" max="3586" width="57.85546875" customWidth="1"/>
    <col min="3587" max="3587" width="15.7109375" customWidth="1"/>
    <col min="3588" max="3588" width="16.85546875" customWidth="1"/>
    <col min="3590" max="3590" width="5.140625" customWidth="1"/>
    <col min="3591" max="3591" width="68" customWidth="1"/>
    <col min="3841" max="3841" width="5.140625" customWidth="1"/>
    <col min="3842" max="3842" width="57.85546875" customWidth="1"/>
    <col min="3843" max="3843" width="15.7109375" customWidth="1"/>
    <col min="3844" max="3844" width="16.85546875" customWidth="1"/>
    <col min="3846" max="3846" width="5.140625" customWidth="1"/>
    <col min="3847" max="3847" width="68" customWidth="1"/>
    <col min="4097" max="4097" width="5.140625" customWidth="1"/>
    <col min="4098" max="4098" width="57.85546875" customWidth="1"/>
    <col min="4099" max="4099" width="15.7109375" customWidth="1"/>
    <col min="4100" max="4100" width="16.85546875" customWidth="1"/>
    <col min="4102" max="4102" width="5.140625" customWidth="1"/>
    <col min="4103" max="4103" width="68" customWidth="1"/>
    <col min="4353" max="4353" width="5.140625" customWidth="1"/>
    <col min="4354" max="4354" width="57.85546875" customWidth="1"/>
    <col min="4355" max="4355" width="15.7109375" customWidth="1"/>
    <col min="4356" max="4356" width="16.85546875" customWidth="1"/>
    <col min="4358" max="4358" width="5.140625" customWidth="1"/>
    <col min="4359" max="4359" width="68" customWidth="1"/>
    <col min="4609" max="4609" width="5.140625" customWidth="1"/>
    <col min="4610" max="4610" width="57.85546875" customWidth="1"/>
    <col min="4611" max="4611" width="15.7109375" customWidth="1"/>
    <col min="4612" max="4612" width="16.85546875" customWidth="1"/>
    <col min="4614" max="4614" width="5.140625" customWidth="1"/>
    <col min="4615" max="4615" width="68" customWidth="1"/>
    <col min="4865" max="4865" width="5.140625" customWidth="1"/>
    <col min="4866" max="4866" width="57.85546875" customWidth="1"/>
    <col min="4867" max="4867" width="15.7109375" customWidth="1"/>
    <col min="4868" max="4868" width="16.85546875" customWidth="1"/>
    <col min="4870" max="4870" width="5.140625" customWidth="1"/>
    <col min="4871" max="4871" width="68" customWidth="1"/>
    <col min="5121" max="5121" width="5.140625" customWidth="1"/>
    <col min="5122" max="5122" width="57.85546875" customWidth="1"/>
    <col min="5123" max="5123" width="15.7109375" customWidth="1"/>
    <col min="5124" max="5124" width="16.85546875" customWidth="1"/>
    <col min="5126" max="5126" width="5.140625" customWidth="1"/>
    <col min="5127" max="5127" width="68" customWidth="1"/>
    <col min="5377" max="5377" width="5.140625" customWidth="1"/>
    <col min="5378" max="5378" width="57.85546875" customWidth="1"/>
    <col min="5379" max="5379" width="15.7109375" customWidth="1"/>
    <col min="5380" max="5380" width="16.85546875" customWidth="1"/>
    <col min="5382" max="5382" width="5.140625" customWidth="1"/>
    <col min="5383" max="5383" width="68" customWidth="1"/>
    <col min="5633" max="5633" width="5.140625" customWidth="1"/>
    <col min="5634" max="5634" width="57.85546875" customWidth="1"/>
    <col min="5635" max="5635" width="15.7109375" customWidth="1"/>
    <col min="5636" max="5636" width="16.85546875" customWidth="1"/>
    <col min="5638" max="5638" width="5.140625" customWidth="1"/>
    <col min="5639" max="5639" width="68" customWidth="1"/>
    <col min="5889" max="5889" width="5.140625" customWidth="1"/>
    <col min="5890" max="5890" width="57.85546875" customWidth="1"/>
    <col min="5891" max="5891" width="15.7109375" customWidth="1"/>
    <col min="5892" max="5892" width="16.85546875" customWidth="1"/>
    <col min="5894" max="5894" width="5.140625" customWidth="1"/>
    <col min="5895" max="5895" width="68" customWidth="1"/>
    <col min="6145" max="6145" width="5.140625" customWidth="1"/>
    <col min="6146" max="6146" width="57.85546875" customWidth="1"/>
    <col min="6147" max="6147" width="15.7109375" customWidth="1"/>
    <col min="6148" max="6148" width="16.85546875" customWidth="1"/>
    <col min="6150" max="6150" width="5.140625" customWidth="1"/>
    <col min="6151" max="6151" width="68" customWidth="1"/>
    <col min="6401" max="6401" width="5.140625" customWidth="1"/>
    <col min="6402" max="6402" width="57.85546875" customWidth="1"/>
    <col min="6403" max="6403" width="15.7109375" customWidth="1"/>
    <col min="6404" max="6404" width="16.85546875" customWidth="1"/>
    <col min="6406" max="6406" width="5.140625" customWidth="1"/>
    <col min="6407" max="6407" width="68" customWidth="1"/>
    <col min="6657" max="6657" width="5.140625" customWidth="1"/>
    <col min="6658" max="6658" width="57.85546875" customWidth="1"/>
    <col min="6659" max="6659" width="15.7109375" customWidth="1"/>
    <col min="6660" max="6660" width="16.85546875" customWidth="1"/>
    <col min="6662" max="6662" width="5.140625" customWidth="1"/>
    <col min="6663" max="6663" width="68" customWidth="1"/>
    <col min="6913" max="6913" width="5.140625" customWidth="1"/>
    <col min="6914" max="6914" width="57.85546875" customWidth="1"/>
    <col min="6915" max="6915" width="15.7109375" customWidth="1"/>
    <col min="6916" max="6916" width="16.85546875" customWidth="1"/>
    <col min="6918" max="6918" width="5.140625" customWidth="1"/>
    <col min="6919" max="6919" width="68" customWidth="1"/>
    <col min="7169" max="7169" width="5.140625" customWidth="1"/>
    <col min="7170" max="7170" width="57.85546875" customWidth="1"/>
    <col min="7171" max="7171" width="15.7109375" customWidth="1"/>
    <col min="7172" max="7172" width="16.85546875" customWidth="1"/>
    <col min="7174" max="7174" width="5.140625" customWidth="1"/>
    <col min="7175" max="7175" width="68" customWidth="1"/>
    <col min="7425" max="7425" width="5.140625" customWidth="1"/>
    <col min="7426" max="7426" width="57.85546875" customWidth="1"/>
    <col min="7427" max="7427" width="15.7109375" customWidth="1"/>
    <col min="7428" max="7428" width="16.85546875" customWidth="1"/>
    <col min="7430" max="7430" width="5.140625" customWidth="1"/>
    <col min="7431" max="7431" width="68" customWidth="1"/>
    <col min="7681" max="7681" width="5.140625" customWidth="1"/>
    <col min="7682" max="7682" width="57.85546875" customWidth="1"/>
    <col min="7683" max="7683" width="15.7109375" customWidth="1"/>
    <col min="7684" max="7684" width="16.85546875" customWidth="1"/>
    <col min="7686" max="7686" width="5.140625" customWidth="1"/>
    <col min="7687" max="7687" width="68" customWidth="1"/>
    <col min="7937" max="7937" width="5.140625" customWidth="1"/>
    <col min="7938" max="7938" width="57.85546875" customWidth="1"/>
    <col min="7939" max="7939" width="15.7109375" customWidth="1"/>
    <col min="7940" max="7940" width="16.85546875" customWidth="1"/>
    <col min="7942" max="7942" width="5.140625" customWidth="1"/>
    <col min="7943" max="7943" width="68" customWidth="1"/>
    <col min="8193" max="8193" width="5.140625" customWidth="1"/>
    <col min="8194" max="8194" width="57.85546875" customWidth="1"/>
    <col min="8195" max="8195" width="15.7109375" customWidth="1"/>
    <col min="8196" max="8196" width="16.85546875" customWidth="1"/>
    <col min="8198" max="8198" width="5.140625" customWidth="1"/>
    <col min="8199" max="8199" width="68" customWidth="1"/>
    <col min="8449" max="8449" width="5.140625" customWidth="1"/>
    <col min="8450" max="8450" width="57.85546875" customWidth="1"/>
    <col min="8451" max="8451" width="15.7109375" customWidth="1"/>
    <col min="8452" max="8452" width="16.85546875" customWidth="1"/>
    <col min="8454" max="8454" width="5.140625" customWidth="1"/>
    <col min="8455" max="8455" width="68" customWidth="1"/>
    <col min="8705" max="8705" width="5.140625" customWidth="1"/>
    <col min="8706" max="8706" width="57.85546875" customWidth="1"/>
    <col min="8707" max="8707" width="15.7109375" customWidth="1"/>
    <col min="8708" max="8708" width="16.85546875" customWidth="1"/>
    <col min="8710" max="8710" width="5.140625" customWidth="1"/>
    <col min="8711" max="8711" width="68" customWidth="1"/>
    <col min="8961" max="8961" width="5.140625" customWidth="1"/>
    <col min="8962" max="8962" width="57.85546875" customWidth="1"/>
    <col min="8963" max="8963" width="15.7109375" customWidth="1"/>
    <col min="8964" max="8964" width="16.85546875" customWidth="1"/>
    <col min="8966" max="8966" width="5.140625" customWidth="1"/>
    <col min="8967" max="8967" width="68" customWidth="1"/>
    <col min="9217" max="9217" width="5.140625" customWidth="1"/>
    <col min="9218" max="9218" width="57.85546875" customWidth="1"/>
    <col min="9219" max="9219" width="15.7109375" customWidth="1"/>
    <col min="9220" max="9220" width="16.85546875" customWidth="1"/>
    <col min="9222" max="9222" width="5.140625" customWidth="1"/>
    <col min="9223" max="9223" width="68" customWidth="1"/>
    <col min="9473" max="9473" width="5.140625" customWidth="1"/>
    <col min="9474" max="9474" width="57.85546875" customWidth="1"/>
    <col min="9475" max="9475" width="15.7109375" customWidth="1"/>
    <col min="9476" max="9476" width="16.85546875" customWidth="1"/>
    <col min="9478" max="9478" width="5.140625" customWidth="1"/>
    <col min="9479" max="9479" width="68" customWidth="1"/>
    <col min="9729" max="9729" width="5.140625" customWidth="1"/>
    <col min="9730" max="9730" width="57.85546875" customWidth="1"/>
    <col min="9731" max="9731" width="15.7109375" customWidth="1"/>
    <col min="9732" max="9732" width="16.85546875" customWidth="1"/>
    <col min="9734" max="9734" width="5.140625" customWidth="1"/>
    <col min="9735" max="9735" width="68" customWidth="1"/>
    <col min="9985" max="9985" width="5.140625" customWidth="1"/>
    <col min="9986" max="9986" width="57.85546875" customWidth="1"/>
    <col min="9987" max="9987" width="15.7109375" customWidth="1"/>
    <col min="9988" max="9988" width="16.85546875" customWidth="1"/>
    <col min="9990" max="9990" width="5.140625" customWidth="1"/>
    <col min="9991" max="9991" width="68" customWidth="1"/>
    <col min="10241" max="10241" width="5.140625" customWidth="1"/>
    <col min="10242" max="10242" width="57.85546875" customWidth="1"/>
    <col min="10243" max="10243" width="15.7109375" customWidth="1"/>
    <col min="10244" max="10244" width="16.85546875" customWidth="1"/>
    <col min="10246" max="10246" width="5.140625" customWidth="1"/>
    <col min="10247" max="10247" width="68" customWidth="1"/>
    <col min="10497" max="10497" width="5.140625" customWidth="1"/>
    <col min="10498" max="10498" width="57.85546875" customWidth="1"/>
    <col min="10499" max="10499" width="15.7109375" customWidth="1"/>
    <col min="10500" max="10500" width="16.85546875" customWidth="1"/>
    <col min="10502" max="10502" width="5.140625" customWidth="1"/>
    <col min="10503" max="10503" width="68" customWidth="1"/>
    <col min="10753" max="10753" width="5.140625" customWidth="1"/>
    <col min="10754" max="10754" width="57.85546875" customWidth="1"/>
    <col min="10755" max="10755" width="15.7109375" customWidth="1"/>
    <col min="10756" max="10756" width="16.85546875" customWidth="1"/>
    <col min="10758" max="10758" width="5.140625" customWidth="1"/>
    <col min="10759" max="10759" width="68" customWidth="1"/>
    <col min="11009" max="11009" width="5.140625" customWidth="1"/>
    <col min="11010" max="11010" width="57.85546875" customWidth="1"/>
    <col min="11011" max="11011" width="15.7109375" customWidth="1"/>
    <col min="11012" max="11012" width="16.85546875" customWidth="1"/>
    <col min="11014" max="11014" width="5.140625" customWidth="1"/>
    <col min="11015" max="11015" width="68" customWidth="1"/>
    <col min="11265" max="11265" width="5.140625" customWidth="1"/>
    <col min="11266" max="11266" width="57.85546875" customWidth="1"/>
    <col min="11267" max="11267" width="15.7109375" customWidth="1"/>
    <col min="11268" max="11268" width="16.85546875" customWidth="1"/>
    <col min="11270" max="11270" width="5.140625" customWidth="1"/>
    <col min="11271" max="11271" width="68" customWidth="1"/>
    <col min="11521" max="11521" width="5.140625" customWidth="1"/>
    <col min="11522" max="11522" width="57.85546875" customWidth="1"/>
    <col min="11523" max="11523" width="15.7109375" customWidth="1"/>
    <col min="11524" max="11524" width="16.85546875" customWidth="1"/>
    <col min="11526" max="11526" width="5.140625" customWidth="1"/>
    <col min="11527" max="11527" width="68" customWidth="1"/>
    <col min="11777" max="11777" width="5.140625" customWidth="1"/>
    <col min="11778" max="11778" width="57.85546875" customWidth="1"/>
    <col min="11779" max="11779" width="15.7109375" customWidth="1"/>
    <col min="11780" max="11780" width="16.85546875" customWidth="1"/>
    <col min="11782" max="11782" width="5.140625" customWidth="1"/>
    <col min="11783" max="11783" width="68" customWidth="1"/>
    <col min="12033" max="12033" width="5.140625" customWidth="1"/>
    <col min="12034" max="12034" width="57.85546875" customWidth="1"/>
    <col min="12035" max="12035" width="15.7109375" customWidth="1"/>
    <col min="12036" max="12036" width="16.85546875" customWidth="1"/>
    <col min="12038" max="12038" width="5.140625" customWidth="1"/>
    <col min="12039" max="12039" width="68" customWidth="1"/>
    <col min="12289" max="12289" width="5.140625" customWidth="1"/>
    <col min="12290" max="12290" width="57.85546875" customWidth="1"/>
    <col min="12291" max="12291" width="15.7109375" customWidth="1"/>
    <col min="12292" max="12292" width="16.85546875" customWidth="1"/>
    <col min="12294" max="12294" width="5.140625" customWidth="1"/>
    <col min="12295" max="12295" width="68" customWidth="1"/>
    <col min="12545" max="12545" width="5.140625" customWidth="1"/>
    <col min="12546" max="12546" width="57.85546875" customWidth="1"/>
    <col min="12547" max="12547" width="15.7109375" customWidth="1"/>
    <col min="12548" max="12548" width="16.85546875" customWidth="1"/>
    <col min="12550" max="12550" width="5.140625" customWidth="1"/>
    <col min="12551" max="12551" width="68" customWidth="1"/>
    <col min="12801" max="12801" width="5.140625" customWidth="1"/>
    <col min="12802" max="12802" width="57.85546875" customWidth="1"/>
    <col min="12803" max="12803" width="15.7109375" customWidth="1"/>
    <col min="12804" max="12804" width="16.85546875" customWidth="1"/>
    <col min="12806" max="12806" width="5.140625" customWidth="1"/>
    <col min="12807" max="12807" width="68" customWidth="1"/>
    <col min="13057" max="13057" width="5.140625" customWidth="1"/>
    <col min="13058" max="13058" width="57.85546875" customWidth="1"/>
    <col min="13059" max="13059" width="15.7109375" customWidth="1"/>
    <col min="13060" max="13060" width="16.85546875" customWidth="1"/>
    <col min="13062" max="13062" width="5.140625" customWidth="1"/>
    <col min="13063" max="13063" width="68" customWidth="1"/>
    <col min="13313" max="13313" width="5.140625" customWidth="1"/>
    <col min="13314" max="13314" width="57.85546875" customWidth="1"/>
    <col min="13315" max="13315" width="15.7109375" customWidth="1"/>
    <col min="13316" max="13316" width="16.85546875" customWidth="1"/>
    <col min="13318" max="13318" width="5.140625" customWidth="1"/>
    <col min="13319" max="13319" width="68" customWidth="1"/>
    <col min="13569" max="13569" width="5.140625" customWidth="1"/>
    <col min="13570" max="13570" width="57.85546875" customWidth="1"/>
    <col min="13571" max="13571" width="15.7109375" customWidth="1"/>
    <col min="13572" max="13572" width="16.85546875" customWidth="1"/>
    <col min="13574" max="13574" width="5.140625" customWidth="1"/>
    <col min="13575" max="13575" width="68" customWidth="1"/>
    <col min="13825" max="13825" width="5.140625" customWidth="1"/>
    <col min="13826" max="13826" width="57.85546875" customWidth="1"/>
    <col min="13827" max="13827" width="15.7109375" customWidth="1"/>
    <col min="13828" max="13828" width="16.85546875" customWidth="1"/>
    <col min="13830" max="13830" width="5.140625" customWidth="1"/>
    <col min="13831" max="13831" width="68" customWidth="1"/>
    <col min="14081" max="14081" width="5.140625" customWidth="1"/>
    <col min="14082" max="14082" width="57.85546875" customWidth="1"/>
    <col min="14083" max="14083" width="15.7109375" customWidth="1"/>
    <col min="14084" max="14084" width="16.85546875" customWidth="1"/>
    <col min="14086" max="14086" width="5.140625" customWidth="1"/>
    <col min="14087" max="14087" width="68" customWidth="1"/>
    <col min="14337" max="14337" width="5.140625" customWidth="1"/>
    <col min="14338" max="14338" width="57.85546875" customWidth="1"/>
    <col min="14339" max="14339" width="15.7109375" customWidth="1"/>
    <col min="14340" max="14340" width="16.85546875" customWidth="1"/>
    <col min="14342" max="14342" width="5.140625" customWidth="1"/>
    <col min="14343" max="14343" width="68" customWidth="1"/>
    <col min="14593" max="14593" width="5.140625" customWidth="1"/>
    <col min="14594" max="14594" width="57.85546875" customWidth="1"/>
    <col min="14595" max="14595" width="15.7109375" customWidth="1"/>
    <col min="14596" max="14596" width="16.85546875" customWidth="1"/>
    <col min="14598" max="14598" width="5.140625" customWidth="1"/>
    <col min="14599" max="14599" width="68" customWidth="1"/>
    <col min="14849" max="14849" width="5.140625" customWidth="1"/>
    <col min="14850" max="14850" width="57.85546875" customWidth="1"/>
    <col min="14851" max="14851" width="15.7109375" customWidth="1"/>
    <col min="14852" max="14852" width="16.85546875" customWidth="1"/>
    <col min="14854" max="14854" width="5.140625" customWidth="1"/>
    <col min="14855" max="14855" width="68" customWidth="1"/>
    <col min="15105" max="15105" width="5.140625" customWidth="1"/>
    <col min="15106" max="15106" width="57.85546875" customWidth="1"/>
    <col min="15107" max="15107" width="15.7109375" customWidth="1"/>
    <col min="15108" max="15108" width="16.85546875" customWidth="1"/>
    <col min="15110" max="15110" width="5.140625" customWidth="1"/>
    <col min="15111" max="15111" width="68" customWidth="1"/>
    <col min="15361" max="15361" width="5.140625" customWidth="1"/>
    <col min="15362" max="15362" width="57.85546875" customWidth="1"/>
    <col min="15363" max="15363" width="15.7109375" customWidth="1"/>
    <col min="15364" max="15364" width="16.85546875" customWidth="1"/>
    <col min="15366" max="15366" width="5.140625" customWidth="1"/>
    <col min="15367" max="15367" width="68" customWidth="1"/>
    <col min="15617" max="15617" width="5.140625" customWidth="1"/>
    <col min="15618" max="15618" width="57.85546875" customWidth="1"/>
    <col min="15619" max="15619" width="15.7109375" customWidth="1"/>
    <col min="15620" max="15620" width="16.85546875" customWidth="1"/>
    <col min="15622" max="15622" width="5.140625" customWidth="1"/>
    <col min="15623" max="15623" width="68" customWidth="1"/>
    <col min="15873" max="15873" width="5.140625" customWidth="1"/>
    <col min="15874" max="15874" width="57.85546875" customWidth="1"/>
    <col min="15875" max="15875" width="15.7109375" customWidth="1"/>
    <col min="15876" max="15876" width="16.85546875" customWidth="1"/>
    <col min="15878" max="15878" width="5.140625" customWidth="1"/>
    <col min="15879" max="15879" width="68" customWidth="1"/>
    <col min="16129" max="16129" width="5.140625" customWidth="1"/>
    <col min="16130" max="16130" width="57.85546875" customWidth="1"/>
    <col min="16131" max="16131" width="15.7109375" customWidth="1"/>
    <col min="16132" max="16132" width="16.85546875" customWidth="1"/>
    <col min="16134" max="16134" width="5.140625" customWidth="1"/>
    <col min="16135" max="16135" width="68" customWidth="1"/>
  </cols>
  <sheetData>
    <row r="1" spans="1:7" ht="20.65" customHeight="1">
      <c r="A1" s="261" t="s">
        <v>0</v>
      </c>
      <c r="B1" s="261"/>
      <c r="C1" s="261"/>
      <c r="D1" s="261"/>
    </row>
    <row r="2" spans="1:7" ht="20.65" customHeight="1">
      <c r="A2" s="71"/>
      <c r="B2" s="240"/>
      <c r="C2" s="240"/>
      <c r="D2" s="71"/>
    </row>
    <row r="3" spans="1:7" ht="20.65" customHeight="1">
      <c r="A3" s="272" t="s">
        <v>109</v>
      </c>
      <c r="B3" s="272"/>
      <c r="C3" s="272"/>
      <c r="D3" s="272"/>
      <c r="F3" s="54"/>
    </row>
    <row r="4" spans="1:7" ht="20.65" customHeight="1">
      <c r="A4" s="273" t="s">
        <v>110</v>
      </c>
      <c r="B4" s="273"/>
      <c r="C4" s="273"/>
      <c r="D4" s="273"/>
      <c r="F4" s="54"/>
    </row>
    <row r="5" spans="1:7" ht="16.5" thickBot="1">
      <c r="A5" s="191"/>
      <c r="B5" s="192"/>
      <c r="C5" s="193"/>
      <c r="D5" s="194" t="s">
        <v>67</v>
      </c>
      <c r="F5" s="55"/>
      <c r="G5" s="25"/>
    </row>
    <row r="6" spans="1:7" ht="43.9" customHeight="1" thickBot="1">
      <c r="A6" s="68" t="s">
        <v>111</v>
      </c>
      <c r="B6" s="66" t="s">
        <v>112</v>
      </c>
      <c r="C6" s="70" t="s">
        <v>113</v>
      </c>
      <c r="D6" s="70" t="s">
        <v>114</v>
      </c>
      <c r="F6" s="241"/>
      <c r="G6" s="69"/>
    </row>
    <row r="7" spans="1:7" ht="25.15" customHeight="1" thickBot="1">
      <c r="A7" s="66" t="s">
        <v>115</v>
      </c>
      <c r="B7" s="64" t="s">
        <v>116</v>
      </c>
      <c r="C7" s="49">
        <f>SUM(C8:C10)</f>
        <v>12818148.09</v>
      </c>
      <c r="D7" s="49">
        <f>SUM(D8:D10)</f>
        <v>13699014.189999999</v>
      </c>
      <c r="G7" s="56"/>
    </row>
    <row r="8" spans="1:7" ht="25.15" customHeight="1" thickBot="1">
      <c r="A8" s="66" t="s">
        <v>75</v>
      </c>
      <c r="B8" s="67" t="s">
        <v>117</v>
      </c>
      <c r="C8" s="52">
        <f>2827187.59+625562</f>
        <v>3452749.59</v>
      </c>
      <c r="D8" s="52">
        <f>2833944.39+351086.55-7982.01</f>
        <v>3177048.93</v>
      </c>
      <c r="G8" s="56"/>
    </row>
    <row r="9" spans="1:7" ht="25.15" customHeight="1" thickBot="1">
      <c r="A9" s="66" t="s">
        <v>77</v>
      </c>
      <c r="B9" s="67" t="s">
        <v>118</v>
      </c>
      <c r="C9" s="52">
        <f>8394579.95+970818.55</f>
        <v>9365398.5</v>
      </c>
      <c r="D9" s="52">
        <f>9501760.81+1037269.45-17065</f>
        <v>10521965.26</v>
      </c>
      <c r="G9" s="56"/>
    </row>
    <row r="10" spans="1:7" ht="25.15" customHeight="1" thickBot="1">
      <c r="A10" s="66" t="s">
        <v>79</v>
      </c>
      <c r="B10" s="67" t="s">
        <v>119</v>
      </c>
      <c r="C10" s="52">
        <v>0</v>
      </c>
      <c r="D10" s="52">
        <v>0</v>
      </c>
      <c r="G10" s="56"/>
    </row>
    <row r="11" spans="1:7" ht="25.15" customHeight="1" thickBot="1">
      <c r="A11" s="65" t="s">
        <v>120</v>
      </c>
      <c r="B11" s="48" t="s">
        <v>121</v>
      </c>
      <c r="C11" s="49">
        <f>SUM(C12:C14)</f>
        <v>12148868.5</v>
      </c>
      <c r="D11" s="49">
        <f>SUM(D12:D14)</f>
        <v>13050252.550000001</v>
      </c>
      <c r="F11" s="55"/>
      <c r="G11" s="57"/>
    </row>
    <row r="12" spans="1:7" ht="25.15" customHeight="1" thickBot="1">
      <c r="A12" s="66" t="s">
        <v>75</v>
      </c>
      <c r="B12" s="67" t="s">
        <v>122</v>
      </c>
      <c r="C12" s="49">
        <f>1957739.61+625562</f>
        <v>2583301.6100000003</v>
      </c>
      <c r="D12" s="49">
        <f>2314947.84+351086.55-17065</f>
        <v>2648969.3899999997</v>
      </c>
      <c r="F12" s="55"/>
      <c r="G12" s="57"/>
    </row>
    <row r="13" spans="1:7" ht="25.15" customHeight="1" thickBot="1">
      <c r="A13" s="66" t="s">
        <v>77</v>
      </c>
      <c r="B13" s="67" t="s">
        <v>123</v>
      </c>
      <c r="C13" s="49">
        <f>8532501.19+1026826.61</f>
        <v>9559327.7999999989</v>
      </c>
      <c r="D13" s="49">
        <f>9304504.15+1096779.01</f>
        <v>10401283.16</v>
      </c>
      <c r="F13" s="55"/>
      <c r="G13" s="57"/>
    </row>
    <row r="14" spans="1:7" ht="25.15" customHeight="1" thickBot="1">
      <c r="A14" s="66" t="s">
        <v>79</v>
      </c>
      <c r="B14" s="67" t="s">
        <v>124</v>
      </c>
      <c r="C14" s="49">
        <v>6239.09</v>
      </c>
      <c r="D14" s="49">
        <v>0</v>
      </c>
      <c r="F14" s="55"/>
      <c r="G14" s="57"/>
    </row>
    <row r="15" spans="1:7" ht="25.15" customHeight="1" thickBot="1">
      <c r="A15" s="65" t="s">
        <v>91</v>
      </c>
      <c r="B15" s="53" t="s">
        <v>125</v>
      </c>
      <c r="C15" s="49">
        <f>C7-C11</f>
        <v>669279.58999999985</v>
      </c>
      <c r="D15" s="49">
        <f>D7-D11</f>
        <v>648761.63999999873</v>
      </c>
      <c r="F15" s="55"/>
      <c r="G15" s="57"/>
    </row>
    <row r="16" spans="1:7" ht="31.9" customHeight="1" thickBot="1">
      <c r="A16" s="66" t="s">
        <v>126</v>
      </c>
      <c r="B16" s="64" t="s">
        <v>127</v>
      </c>
      <c r="C16" s="49">
        <f>1443256.37+1206794.47</f>
        <v>2650050.84</v>
      </c>
      <c r="D16" s="49">
        <f>1626100.89+1305953.45-98775.99</f>
        <v>2833278.3499999996</v>
      </c>
      <c r="G16" s="58"/>
    </row>
    <row r="17" spans="1:7" ht="25.15" customHeight="1" thickBot="1">
      <c r="A17" s="66" t="s">
        <v>128</v>
      </c>
      <c r="B17" s="64" t="s">
        <v>129</v>
      </c>
      <c r="C17" s="49">
        <f>1241708.26+884773.44</f>
        <v>2126481.7000000002</v>
      </c>
      <c r="D17" s="49">
        <f>1489522.85+1078662.93-106758</f>
        <v>2461427.7800000003</v>
      </c>
      <c r="G17" s="58"/>
    </row>
    <row r="18" spans="1:7" ht="25.15" customHeight="1" thickBot="1">
      <c r="A18" s="65" t="s">
        <v>130</v>
      </c>
      <c r="B18" s="48" t="s">
        <v>131</v>
      </c>
      <c r="C18" s="49">
        <f>C16-C17</f>
        <v>523569.13999999966</v>
      </c>
      <c r="D18" s="49">
        <f>D16-D17</f>
        <v>371850.56999999937</v>
      </c>
      <c r="F18" s="55"/>
      <c r="G18" s="57"/>
    </row>
    <row r="19" spans="1:7" ht="25.15" customHeight="1" thickBot="1">
      <c r="A19" s="66" t="s">
        <v>132</v>
      </c>
      <c r="B19" s="64" t="s">
        <v>133</v>
      </c>
      <c r="C19" s="49">
        <f>686203.48+340636.78</f>
        <v>1026840.26</v>
      </c>
      <c r="D19" s="49">
        <f>854260.77+320630.82</f>
        <v>1174891.5900000001</v>
      </c>
      <c r="G19" s="56"/>
    </row>
    <row r="20" spans="1:7" ht="25.15" customHeight="1" thickBot="1">
      <c r="A20" s="66" t="s">
        <v>134</v>
      </c>
      <c r="B20" s="53" t="s">
        <v>135</v>
      </c>
      <c r="C20" s="49">
        <f>C15+C18-C19</f>
        <v>166008.46999999951</v>
      </c>
      <c r="D20" s="49">
        <f>D15+D18-D19</f>
        <v>-154279.38000000198</v>
      </c>
      <c r="F20" s="55"/>
      <c r="G20" s="59"/>
    </row>
    <row r="21" spans="1:7" ht="25.15" customHeight="1" thickBot="1">
      <c r="A21" s="65" t="s">
        <v>136</v>
      </c>
      <c r="B21" s="67" t="s">
        <v>137</v>
      </c>
      <c r="C21" s="49">
        <f>158015.78+165089.65</f>
        <v>323105.43</v>
      </c>
      <c r="D21" s="49">
        <f>280408.23+168925.76+10227.3</f>
        <v>459561.29</v>
      </c>
      <c r="G21" s="47"/>
    </row>
    <row r="22" spans="1:7" ht="25.15" customHeight="1" thickBot="1">
      <c r="A22" s="66" t="s">
        <v>138</v>
      </c>
      <c r="B22" s="67" t="s">
        <v>139</v>
      </c>
      <c r="C22" s="49">
        <f>260153.81+3271.81</f>
        <v>263425.62</v>
      </c>
      <c r="D22" s="49">
        <f>189618.52+15948.39</f>
        <v>205566.90999999997</v>
      </c>
      <c r="G22" s="47"/>
    </row>
    <row r="23" spans="1:7" ht="25.15" customHeight="1" thickBot="1">
      <c r="A23" s="65" t="s">
        <v>140</v>
      </c>
      <c r="B23" s="67" t="s">
        <v>141</v>
      </c>
      <c r="C23" s="49">
        <f>3278.91+3354.48</f>
        <v>6633.3899999999994</v>
      </c>
      <c r="D23" s="49">
        <f>6175.17+3165.62</f>
        <v>9340.7900000000009</v>
      </c>
      <c r="G23" s="47"/>
    </row>
    <row r="24" spans="1:7" ht="25.15" customHeight="1" thickBot="1">
      <c r="A24" s="66" t="s">
        <v>142</v>
      </c>
      <c r="B24" s="67" t="s">
        <v>143</v>
      </c>
      <c r="C24" s="49">
        <f>27147.4+10.25</f>
        <v>27157.65</v>
      </c>
      <c r="D24" s="49">
        <f>36741.92+41.64</f>
        <v>36783.56</v>
      </c>
      <c r="G24" s="47"/>
    </row>
    <row r="25" spans="1:7" ht="25.15" customHeight="1" thickBot="1">
      <c r="A25" s="66" t="s">
        <v>144</v>
      </c>
      <c r="B25" s="53" t="s">
        <v>145</v>
      </c>
      <c r="C25" s="49">
        <f>C20+C21-C22+C23-C24</f>
        <v>205164.01999999952</v>
      </c>
      <c r="D25" s="49">
        <f>D20+D21-D22+D23-D24</f>
        <v>72272.229999998031</v>
      </c>
      <c r="F25" s="55"/>
      <c r="G25" s="59"/>
    </row>
    <row r="26" spans="1:7" ht="25.15" customHeight="1" thickBot="1">
      <c r="A26" s="65" t="s">
        <v>146</v>
      </c>
      <c r="B26" s="64" t="s">
        <v>147</v>
      </c>
      <c r="C26" s="52">
        <f>620.54+14026</f>
        <v>14646.54</v>
      </c>
      <c r="D26" s="52">
        <f>28110.14+1.9</f>
        <v>28112.04</v>
      </c>
      <c r="G26" s="60"/>
    </row>
    <row r="27" spans="1:7" ht="25.15" customHeight="1" thickBot="1">
      <c r="A27" s="66" t="s">
        <v>148</v>
      </c>
      <c r="B27" s="48" t="s">
        <v>149</v>
      </c>
      <c r="C27" s="49">
        <f>C25-C26</f>
        <v>190517.47999999952</v>
      </c>
      <c r="D27" s="49">
        <f>D25-D26</f>
        <v>44160.189999998031</v>
      </c>
      <c r="F27" s="55"/>
      <c r="G27" s="24"/>
    </row>
    <row r="28" spans="1:7">
      <c r="A28" s="43"/>
      <c r="B28" s="40"/>
    </row>
    <row r="29" spans="1:7">
      <c r="A29" s="43"/>
      <c r="B29" s="40"/>
    </row>
    <row r="30" spans="1:7">
      <c r="A30" s="39" t="s">
        <v>107</v>
      </c>
      <c r="B30" s="40"/>
      <c r="C30" s="266"/>
      <c r="D30" s="266"/>
      <c r="F30" s="47"/>
    </row>
    <row r="31" spans="1:7">
      <c r="A31" s="41" t="s">
        <v>60</v>
      </c>
      <c r="B31" s="42"/>
      <c r="F31" s="47"/>
    </row>
    <row r="32" spans="1:7">
      <c r="A32" s="43"/>
      <c r="B32" s="40"/>
    </row>
    <row r="33" spans="1:7">
      <c r="A33" s="43"/>
      <c r="B33" s="40" t="s">
        <v>150</v>
      </c>
      <c r="C33" s="266" t="s">
        <v>62</v>
      </c>
      <c r="D33" s="266"/>
      <c r="E33" s="61"/>
    </row>
    <row r="34" spans="1:7">
      <c r="A34" s="41" t="s">
        <v>63</v>
      </c>
      <c r="B34" s="42"/>
      <c r="C34" s="63" t="s">
        <v>64</v>
      </c>
      <c r="D34" s="63"/>
      <c r="E34" s="62"/>
      <c r="F34" s="62"/>
      <c r="G34" s="62"/>
    </row>
    <row r="35" spans="1:7">
      <c r="A35" s="39"/>
      <c r="B35" s="41"/>
      <c r="F35" s="47"/>
    </row>
    <row r="36" spans="1:7">
      <c r="A36" s="43"/>
      <c r="B36" s="40"/>
    </row>
    <row r="37" spans="1:7" ht="41.25" customHeight="1">
      <c r="A37" s="267"/>
      <c r="B37" s="267"/>
      <c r="C37" s="267"/>
      <c r="D37" s="267"/>
      <c r="E37" s="242"/>
      <c r="F37" s="242"/>
    </row>
    <row r="38" spans="1:7" ht="15.75">
      <c r="B38" s="24"/>
    </row>
    <row r="39" spans="1:7" ht="15.75">
      <c r="B39" s="24"/>
    </row>
    <row r="40" spans="1:7" ht="15.75">
      <c r="B40" s="24"/>
    </row>
    <row r="41" spans="1:7" ht="15.75">
      <c r="B41" s="24"/>
    </row>
    <row r="42" spans="1:7" ht="15.75">
      <c r="B42" s="24"/>
    </row>
    <row r="43" spans="1:7" ht="15.75">
      <c r="B43" s="24"/>
    </row>
    <row r="44" spans="1:7" ht="15.75">
      <c r="B44" s="24"/>
    </row>
    <row r="45" spans="1:7" ht="15.75">
      <c r="B45" s="24"/>
    </row>
    <row r="46" spans="1:7" ht="15.75">
      <c r="B46" s="24"/>
    </row>
    <row r="47" spans="1:7" ht="15.75">
      <c r="B47" s="24"/>
    </row>
    <row r="48" spans="1:7" ht="15.75">
      <c r="B48" s="24"/>
    </row>
    <row r="49" spans="2:2" ht="15.75">
      <c r="B49" s="24"/>
    </row>
    <row r="50" spans="2:2" ht="15.75">
      <c r="B50" s="24"/>
    </row>
    <row r="51" spans="2:2" ht="15.75">
      <c r="B51" s="24"/>
    </row>
    <row r="52" spans="2:2" ht="15.75">
      <c r="B52" s="24"/>
    </row>
    <row r="53" spans="2:2" ht="15.75">
      <c r="B53" s="24"/>
    </row>
    <row r="54" spans="2:2" ht="15.75">
      <c r="B54" s="24"/>
    </row>
    <row r="55" spans="2:2" ht="15.75">
      <c r="B55" s="24"/>
    </row>
    <row r="56" spans="2:2" ht="15.75">
      <c r="B56" s="24"/>
    </row>
    <row r="57" spans="2:2" ht="15.75">
      <c r="B57" s="24"/>
    </row>
    <row r="58" spans="2:2" ht="15.75">
      <c r="B58" s="24"/>
    </row>
    <row r="59" spans="2:2" ht="15.75">
      <c r="B59" s="24"/>
    </row>
    <row r="60" spans="2:2" ht="15.75">
      <c r="B60" s="24"/>
    </row>
    <row r="61" spans="2:2" ht="15.75">
      <c r="B61" s="24"/>
    </row>
    <row r="62" spans="2:2" ht="15.75">
      <c r="B62" s="24"/>
    </row>
    <row r="63" spans="2:2" ht="15.75">
      <c r="B63" s="24"/>
    </row>
    <row r="64" spans="2:2" ht="15.75">
      <c r="B64" s="24"/>
    </row>
    <row r="65" spans="2:2" ht="15.75">
      <c r="B65" s="24"/>
    </row>
    <row r="66" spans="2:2" ht="15.75">
      <c r="B66" s="24"/>
    </row>
    <row r="67" spans="2:2" ht="15.75">
      <c r="B67" s="24"/>
    </row>
    <row r="68" spans="2:2" ht="15.75">
      <c r="B68" s="24"/>
    </row>
    <row r="69" spans="2:2" ht="15.75">
      <c r="B69" s="24"/>
    </row>
    <row r="70" spans="2:2" ht="15.75">
      <c r="B70" s="24"/>
    </row>
    <row r="71" spans="2:2" ht="15.75">
      <c r="B71" s="24"/>
    </row>
    <row r="72" spans="2:2" ht="15.75">
      <c r="B72" s="24"/>
    </row>
    <row r="73" spans="2:2" ht="15.75">
      <c r="B73" s="24"/>
    </row>
    <row r="74" spans="2:2" ht="15.75">
      <c r="B74" s="24"/>
    </row>
    <row r="75" spans="2:2" ht="15.75">
      <c r="B75" s="24"/>
    </row>
    <row r="76" spans="2:2" ht="15.75">
      <c r="B76" s="24"/>
    </row>
    <row r="77" spans="2:2" ht="15.75">
      <c r="B77" s="24"/>
    </row>
    <row r="78" spans="2:2" ht="15.75">
      <c r="B78" s="24"/>
    </row>
    <row r="79" spans="2:2" ht="15.75">
      <c r="B79" s="24"/>
    </row>
    <row r="80" spans="2:2" ht="15.75">
      <c r="B80" s="24"/>
    </row>
    <row r="81" spans="2:2" ht="15.75">
      <c r="B81" s="24"/>
    </row>
    <row r="82" spans="2:2" ht="15.75">
      <c r="B82" s="24"/>
    </row>
    <row r="83" spans="2:2" ht="15.75">
      <c r="B83" s="24"/>
    </row>
    <row r="84" spans="2:2" ht="15.75">
      <c r="B84" s="24"/>
    </row>
    <row r="85" spans="2:2" ht="15.75">
      <c r="B85" s="24"/>
    </row>
    <row r="86" spans="2:2" ht="15.75">
      <c r="B86" s="24"/>
    </row>
    <row r="87" spans="2:2" ht="15.75">
      <c r="B87" s="24"/>
    </row>
    <row r="88" spans="2:2" ht="15.75">
      <c r="B88" s="24"/>
    </row>
    <row r="89" spans="2:2" ht="15.75">
      <c r="B89" s="24"/>
    </row>
    <row r="90" spans="2:2" ht="15.75">
      <c r="B90" s="24"/>
    </row>
    <row r="91" spans="2:2" ht="15.75">
      <c r="B91" s="24"/>
    </row>
    <row r="92" spans="2:2" ht="15.75">
      <c r="B92" s="24"/>
    </row>
    <row r="93" spans="2:2" ht="15.75">
      <c r="B93" s="24"/>
    </row>
    <row r="94" spans="2:2" ht="15.75">
      <c r="B94" s="24"/>
    </row>
    <row r="95" spans="2:2" ht="15.75">
      <c r="B95" s="24"/>
    </row>
    <row r="96" spans="2:2" ht="15.75">
      <c r="B96" s="24"/>
    </row>
    <row r="97" spans="2:2" ht="15.75">
      <c r="B97" s="24"/>
    </row>
    <row r="98" spans="2:2" ht="15.75">
      <c r="B98" s="24"/>
    </row>
    <row r="99" spans="2:2" ht="15.75">
      <c r="B99" s="24"/>
    </row>
    <row r="100" spans="2:2" ht="15.75">
      <c r="B100" s="24"/>
    </row>
    <row r="101" spans="2:2" ht="15.75">
      <c r="B101" s="24"/>
    </row>
    <row r="102" spans="2:2" ht="15.75">
      <c r="B102" s="24"/>
    </row>
    <row r="103" spans="2:2" ht="15.75">
      <c r="B103" s="24"/>
    </row>
    <row r="104" spans="2:2" ht="15.75">
      <c r="B104" s="24"/>
    </row>
    <row r="105" spans="2:2" ht="15.75">
      <c r="B105" s="24"/>
    </row>
    <row r="106" spans="2:2" ht="15.75">
      <c r="B106" s="24"/>
    </row>
    <row r="107" spans="2:2" ht="15.75">
      <c r="B107" s="24"/>
    </row>
    <row r="108" spans="2:2" ht="15.75">
      <c r="B108" s="24"/>
    </row>
    <row r="109" spans="2:2" ht="15.75">
      <c r="B109" s="24"/>
    </row>
    <row r="110" spans="2:2" ht="15.75">
      <c r="B110" s="24"/>
    </row>
    <row r="111" spans="2:2" ht="15.75">
      <c r="B111" s="24"/>
    </row>
    <row r="112" spans="2:2" ht="15.75">
      <c r="B112" s="24"/>
    </row>
    <row r="113" spans="2:2" ht="15.75">
      <c r="B113" s="24"/>
    </row>
    <row r="114" spans="2:2" ht="15.75">
      <c r="B114" s="24"/>
    </row>
    <row r="115" spans="2:2" ht="15.75">
      <c r="B115" s="24"/>
    </row>
    <row r="116" spans="2:2" ht="15.75">
      <c r="B116" s="24"/>
    </row>
    <row r="117" spans="2:2" ht="15.75">
      <c r="B117" s="24"/>
    </row>
    <row r="118" spans="2:2" ht="15.75">
      <c r="B118" s="24"/>
    </row>
    <row r="119" spans="2:2" ht="15.75">
      <c r="B119" s="24"/>
    </row>
    <row r="120" spans="2:2" ht="15.75">
      <c r="B120" s="24"/>
    </row>
    <row r="121" spans="2:2" ht="15.75">
      <c r="B121" s="24"/>
    </row>
    <row r="122" spans="2:2" ht="15.75">
      <c r="B122" s="24"/>
    </row>
    <row r="123" spans="2:2" ht="15.75">
      <c r="B123" s="24"/>
    </row>
    <row r="124" spans="2:2" ht="15.75">
      <c r="B124" s="24"/>
    </row>
    <row r="125" spans="2:2" ht="15.75">
      <c r="B125" s="24"/>
    </row>
    <row r="126" spans="2:2" ht="15.75">
      <c r="B126" s="24"/>
    </row>
    <row r="127" spans="2:2" ht="15.75">
      <c r="B127" s="24"/>
    </row>
    <row r="128" spans="2:2" ht="15.75">
      <c r="B128" s="24"/>
    </row>
    <row r="129" spans="2:2" ht="15.75">
      <c r="B129" s="24"/>
    </row>
    <row r="130" spans="2:2" ht="15.75">
      <c r="B130" s="24"/>
    </row>
    <row r="131" spans="2:2" ht="15.75">
      <c r="B131" s="24"/>
    </row>
    <row r="132" spans="2:2" ht="15.75">
      <c r="B132" s="24"/>
    </row>
    <row r="133" spans="2:2" ht="15.75">
      <c r="B133" s="24"/>
    </row>
    <row r="134" spans="2:2" ht="15.75">
      <c r="B134" s="24"/>
    </row>
    <row r="135" spans="2:2" ht="15.75">
      <c r="B135" s="24"/>
    </row>
    <row r="136" spans="2:2" ht="15.75">
      <c r="B136" s="24"/>
    </row>
    <row r="137" spans="2:2" ht="15.75">
      <c r="B137" s="24"/>
    </row>
    <row r="138" spans="2:2" ht="15.75">
      <c r="B138" s="24"/>
    </row>
    <row r="139" spans="2:2" ht="15.75">
      <c r="B139" s="24"/>
    </row>
    <row r="140" spans="2:2" ht="15.75">
      <c r="B140" s="24"/>
    </row>
    <row r="141" spans="2:2" ht="15.75">
      <c r="B141" s="24"/>
    </row>
    <row r="142" spans="2:2" ht="15.75">
      <c r="B142" s="24"/>
    </row>
    <row r="143" spans="2:2" ht="15.75">
      <c r="B143" s="24"/>
    </row>
    <row r="144" spans="2:2" ht="15.75">
      <c r="B144" s="24"/>
    </row>
    <row r="145" spans="2:2" ht="15.75">
      <c r="B145" s="24"/>
    </row>
    <row r="146" spans="2:2" ht="15.75">
      <c r="B146" s="24"/>
    </row>
    <row r="147" spans="2:2" ht="15.75">
      <c r="B147" s="24"/>
    </row>
    <row r="148" spans="2:2" ht="15.75">
      <c r="B148" s="24"/>
    </row>
    <row r="149" spans="2:2" ht="15.75">
      <c r="B149" s="24"/>
    </row>
    <row r="150" spans="2:2" ht="15.75">
      <c r="B150" s="24"/>
    </row>
    <row r="151" spans="2:2" ht="15.75">
      <c r="B151" s="24"/>
    </row>
    <row r="152" spans="2:2" ht="15.75">
      <c r="B152" s="24"/>
    </row>
    <row r="153" spans="2:2" ht="15.75">
      <c r="B153" s="24"/>
    </row>
    <row r="154" spans="2:2" ht="15.75">
      <c r="B154" s="24"/>
    </row>
    <row r="155" spans="2:2" ht="15.75">
      <c r="B155" s="24"/>
    </row>
    <row r="156" spans="2:2" ht="15.75">
      <c r="B156" s="24"/>
    </row>
    <row r="157" spans="2:2" ht="15.75">
      <c r="B157" s="24"/>
    </row>
    <row r="158" spans="2:2" ht="15.75">
      <c r="B158" s="24"/>
    </row>
    <row r="159" spans="2:2" ht="15.75">
      <c r="B159" s="24"/>
    </row>
    <row r="160" spans="2:2" ht="15.75">
      <c r="B160" s="24"/>
    </row>
    <row r="161" spans="2:2" ht="15.75">
      <c r="B161" s="24"/>
    </row>
  </sheetData>
  <mergeCells count="6">
    <mergeCell ref="A1:D1"/>
    <mergeCell ref="A37:D37"/>
    <mergeCell ref="A3:D3"/>
    <mergeCell ref="A4:D4"/>
    <mergeCell ref="C30:D30"/>
    <mergeCell ref="C33:D33"/>
  </mergeCells>
  <pageMargins left="0.7" right="0.7" top="0.75" bottom="0.75" header="0.3" footer="0.3"/>
  <pageSetup paperSize="9" scale="7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6"/>
  <sheetViews>
    <sheetView view="pageBreakPreview" topLeftCell="A19" zoomScale="80" zoomScaleNormal="100" zoomScaleSheetLayoutView="80" workbookViewId="0">
      <selection activeCell="E10" sqref="E10"/>
    </sheetView>
  </sheetViews>
  <sheetFormatPr defaultRowHeight="15"/>
  <cols>
    <col min="1" max="1" width="4.5703125" customWidth="1"/>
    <col min="2" max="2" width="41.140625" customWidth="1"/>
    <col min="3" max="3" width="16.7109375" customWidth="1"/>
    <col min="4" max="4" width="15.5703125" customWidth="1"/>
    <col min="5" max="5" width="16.42578125" customWidth="1"/>
    <col min="6" max="6" width="17.5703125" customWidth="1"/>
    <col min="10" max="10" width="18.7109375" customWidth="1"/>
  </cols>
  <sheetData>
    <row r="1" spans="1:10">
      <c r="B1" s="283" t="s">
        <v>0</v>
      </c>
      <c r="C1" s="283"/>
      <c r="D1" s="283"/>
      <c r="E1" s="283"/>
      <c r="F1" s="283"/>
    </row>
    <row r="3" spans="1:10" ht="15.75">
      <c r="A3" s="73"/>
      <c r="B3" s="255" t="s">
        <v>151</v>
      </c>
      <c r="C3" s="255"/>
      <c r="D3" s="255"/>
      <c r="E3" s="255"/>
      <c r="F3" s="9" t="s">
        <v>152</v>
      </c>
    </row>
    <row r="4" spans="1:10" ht="15.75">
      <c r="A4" s="73"/>
      <c r="B4" s="255" t="s">
        <v>153</v>
      </c>
      <c r="C4" s="255"/>
      <c r="D4" s="255"/>
      <c r="E4" s="255"/>
      <c r="F4" s="9"/>
    </row>
    <row r="5" spans="1:10" ht="15.75">
      <c r="A5" s="73"/>
      <c r="B5" s="73"/>
      <c r="C5" s="73"/>
      <c r="D5" s="73"/>
      <c r="F5" s="9"/>
    </row>
    <row r="6" spans="1:10" ht="55.15" customHeight="1">
      <c r="A6" s="245">
        <v>1</v>
      </c>
      <c r="B6" s="274" t="s">
        <v>154</v>
      </c>
      <c r="C6" s="274"/>
      <c r="D6" s="274"/>
      <c r="E6" s="274"/>
      <c r="F6" s="274"/>
      <c r="G6" s="75"/>
      <c r="H6" s="75"/>
      <c r="I6" s="75"/>
      <c r="J6" s="75"/>
    </row>
    <row r="7" spans="1:10">
      <c r="F7" s="5"/>
    </row>
    <row r="8" spans="1:10" ht="29.45" customHeight="1">
      <c r="B8" s="275" t="s">
        <v>112</v>
      </c>
      <c r="C8" s="281" t="s">
        <v>155</v>
      </c>
      <c r="D8" s="282"/>
      <c r="E8" s="281" t="s">
        <v>156</v>
      </c>
      <c r="F8" s="282"/>
    </row>
    <row r="9" spans="1:10" ht="42" customHeight="1">
      <c r="B9" s="277"/>
      <c r="C9" s="165" t="s">
        <v>157</v>
      </c>
      <c r="D9" s="165" t="s">
        <v>158</v>
      </c>
      <c r="E9" s="165" t="s">
        <v>157</v>
      </c>
      <c r="F9" s="165" t="s">
        <v>158</v>
      </c>
    </row>
    <row r="10" spans="1:10">
      <c r="B10" s="74" t="s">
        <v>159</v>
      </c>
      <c r="C10" s="76"/>
      <c r="D10" s="76"/>
      <c r="E10" s="76"/>
      <c r="F10" s="76"/>
    </row>
    <row r="11" spans="1:10">
      <c r="B11" s="74" t="s">
        <v>160</v>
      </c>
      <c r="C11" s="76"/>
      <c r="D11" s="76"/>
      <c r="E11" s="76"/>
      <c r="F11" s="76"/>
    </row>
    <row r="12" spans="1:10">
      <c r="B12" s="74" t="s">
        <v>161</v>
      </c>
      <c r="C12" s="76"/>
      <c r="D12" s="76"/>
      <c r="E12" s="76"/>
      <c r="F12" s="76"/>
    </row>
    <row r="13" spans="1:10">
      <c r="B13" s="74" t="s">
        <v>162</v>
      </c>
      <c r="C13" s="76"/>
      <c r="D13" s="76"/>
      <c r="E13" s="76"/>
      <c r="F13" s="76"/>
    </row>
    <row r="14" spans="1:10">
      <c r="B14" s="74" t="s">
        <v>163</v>
      </c>
      <c r="C14" s="76">
        <v>19105.689999999999</v>
      </c>
      <c r="D14" s="76">
        <v>29981.64</v>
      </c>
      <c r="E14" s="76">
        <v>0</v>
      </c>
      <c r="F14" s="76">
        <v>74954.100000000006</v>
      </c>
    </row>
    <row r="15" spans="1:10">
      <c r="B15" s="74" t="s">
        <v>164</v>
      </c>
      <c r="C15" s="76">
        <f>SUM(C16:C17)</f>
        <v>0</v>
      </c>
      <c r="D15" s="76">
        <f>SUM(D16:D17)</f>
        <v>0</v>
      </c>
      <c r="E15" s="76">
        <f>SUM(E16:E17)</f>
        <v>0</v>
      </c>
      <c r="F15" s="76">
        <f>SUM(F16:F17)</f>
        <v>0</v>
      </c>
    </row>
    <row r="16" spans="1:10">
      <c r="B16" s="74" t="s">
        <v>165</v>
      </c>
      <c r="C16" s="76"/>
      <c r="D16" s="76"/>
      <c r="E16" s="76"/>
      <c r="F16" s="76"/>
    </row>
    <row r="17" spans="1:6" ht="14.45" customHeight="1">
      <c r="B17" s="77"/>
      <c r="C17" s="76"/>
      <c r="D17" s="76"/>
      <c r="E17" s="76"/>
      <c r="F17" s="76"/>
    </row>
    <row r="18" spans="1:6">
      <c r="B18" s="78" t="s">
        <v>166</v>
      </c>
      <c r="C18" s="200">
        <f>SUM(C9:C15)</f>
        <v>19105.689999999999</v>
      </c>
      <c r="D18" s="200">
        <f t="shared" ref="D18:F18" si="0">SUM(D9:D15)</f>
        <v>29981.64</v>
      </c>
      <c r="E18" s="200">
        <f t="shared" si="0"/>
        <v>0</v>
      </c>
      <c r="F18" s="200">
        <f t="shared" si="0"/>
        <v>74954.100000000006</v>
      </c>
    </row>
    <row r="19" spans="1:6" ht="30">
      <c r="B19" s="77" t="s">
        <v>167</v>
      </c>
      <c r="C19" s="76"/>
      <c r="D19" s="76"/>
      <c r="E19" s="76"/>
      <c r="F19" s="76"/>
    </row>
    <row r="20" spans="1:6">
      <c r="B20" s="8"/>
      <c r="C20" s="11"/>
      <c r="D20" s="11"/>
      <c r="E20" s="11"/>
      <c r="F20" s="11"/>
    </row>
    <row r="21" spans="1:6">
      <c r="B21" s="8"/>
      <c r="C21" s="11"/>
      <c r="D21" s="11"/>
      <c r="E21" s="11"/>
      <c r="F21" s="11"/>
    </row>
    <row r="23" spans="1:6" ht="74.45" customHeight="1">
      <c r="A23" s="245">
        <v>2</v>
      </c>
      <c r="B23" s="274" t="s">
        <v>168</v>
      </c>
      <c r="C23" s="274"/>
      <c r="D23" s="274"/>
      <c r="E23" s="274"/>
      <c r="F23" s="274"/>
    </row>
    <row r="24" spans="1:6" ht="14.45" customHeight="1">
      <c r="A24" s="245"/>
      <c r="B24" s="243"/>
      <c r="C24" s="243"/>
      <c r="D24" s="243"/>
      <c r="E24" s="243"/>
      <c r="F24" s="243"/>
    </row>
    <row r="25" spans="1:6">
      <c r="B25" s="275" t="s">
        <v>112</v>
      </c>
      <c r="C25" s="278" t="s">
        <v>169</v>
      </c>
      <c r="D25" s="279"/>
      <c r="E25" s="279"/>
      <c r="F25" s="280"/>
    </row>
    <row r="26" spans="1:6">
      <c r="B26" s="276"/>
      <c r="C26" s="278" t="s">
        <v>170</v>
      </c>
      <c r="D26" s="280"/>
      <c r="E26" s="278" t="s">
        <v>171</v>
      </c>
      <c r="F26" s="280"/>
    </row>
    <row r="27" spans="1:6" ht="45">
      <c r="B27" s="277"/>
      <c r="C27" s="165" t="s">
        <v>157</v>
      </c>
      <c r="D27" s="165" t="s">
        <v>158</v>
      </c>
      <c r="E27" s="165" t="s">
        <v>157</v>
      </c>
      <c r="F27" s="165" t="s">
        <v>158</v>
      </c>
    </row>
    <row r="28" spans="1:6">
      <c r="B28" s="74" t="s">
        <v>172</v>
      </c>
      <c r="C28" s="76">
        <v>0</v>
      </c>
      <c r="D28" s="76">
        <v>0</v>
      </c>
      <c r="E28" s="76">
        <v>0</v>
      </c>
      <c r="F28" s="76">
        <v>0</v>
      </c>
    </row>
    <row r="29" spans="1:6">
      <c r="B29" s="74" t="s">
        <v>173</v>
      </c>
      <c r="C29" s="76">
        <v>0</v>
      </c>
      <c r="D29" s="76">
        <v>0</v>
      </c>
      <c r="E29" s="76">
        <v>0</v>
      </c>
      <c r="F29" s="76">
        <v>0</v>
      </c>
    </row>
    <row r="30" spans="1:6">
      <c r="B30" s="74" t="s">
        <v>174</v>
      </c>
      <c r="C30" s="76">
        <v>0</v>
      </c>
      <c r="D30" s="76">
        <v>0</v>
      </c>
      <c r="E30" s="76">
        <v>0</v>
      </c>
      <c r="F30" s="76">
        <v>0</v>
      </c>
    </row>
    <row r="31" spans="1:6">
      <c r="B31" s="74" t="s">
        <v>175</v>
      </c>
      <c r="C31" s="76">
        <v>0</v>
      </c>
      <c r="D31" s="76">
        <v>0</v>
      </c>
      <c r="E31" s="76">
        <v>0</v>
      </c>
      <c r="F31" s="76">
        <v>0</v>
      </c>
    </row>
    <row r="32" spans="1:6">
      <c r="B32" s="74" t="s">
        <v>176</v>
      </c>
      <c r="C32" s="76">
        <v>0</v>
      </c>
      <c r="D32" s="76">
        <v>0</v>
      </c>
      <c r="E32" s="76">
        <v>0</v>
      </c>
      <c r="F32" s="76">
        <v>0</v>
      </c>
    </row>
    <row r="33" spans="2:6">
      <c r="B33" s="74" t="s">
        <v>177</v>
      </c>
      <c r="C33" s="76">
        <v>0</v>
      </c>
      <c r="D33" s="76">
        <v>0</v>
      </c>
      <c r="E33" s="76">
        <v>0</v>
      </c>
      <c r="F33" s="76">
        <v>0</v>
      </c>
    </row>
    <row r="34" spans="2:6">
      <c r="B34" s="74" t="s">
        <v>178</v>
      </c>
      <c r="C34" s="76">
        <v>0</v>
      </c>
      <c r="D34" s="76">
        <v>0</v>
      </c>
      <c r="E34" s="76">
        <v>0</v>
      </c>
      <c r="F34" s="76">
        <v>0</v>
      </c>
    </row>
    <row r="35" spans="2:6" ht="45">
      <c r="B35" s="77" t="s">
        <v>179</v>
      </c>
      <c r="C35" s="76">
        <v>0</v>
      </c>
      <c r="D35" s="76">
        <v>0</v>
      </c>
      <c r="E35" s="76">
        <v>0</v>
      </c>
      <c r="F35" s="76">
        <v>0</v>
      </c>
    </row>
    <row r="36" spans="2:6">
      <c r="B36" s="78" t="s">
        <v>166</v>
      </c>
      <c r="C36" s="200">
        <f>SUM(C28:C35)</f>
        <v>0</v>
      </c>
      <c r="D36" s="200">
        <f t="shared" ref="D36:F36" si="1">SUM(D28:D35)</f>
        <v>0</v>
      </c>
      <c r="E36" s="200">
        <f t="shared" si="1"/>
        <v>0</v>
      </c>
      <c r="F36" s="200">
        <f t="shared" si="1"/>
        <v>0</v>
      </c>
    </row>
  </sheetData>
  <mergeCells count="12">
    <mergeCell ref="E8:F8"/>
    <mergeCell ref="C8:D8"/>
    <mergeCell ref="B6:F6"/>
    <mergeCell ref="B1:F1"/>
    <mergeCell ref="B3:E3"/>
    <mergeCell ref="B4:E4"/>
    <mergeCell ref="B8:B9"/>
    <mergeCell ref="B23:F23"/>
    <mergeCell ref="B25:B27"/>
    <mergeCell ref="C25:F25"/>
    <mergeCell ref="C26:D26"/>
    <mergeCell ref="E26:F26"/>
  </mergeCells>
  <pageMargins left="0.7" right="0.7" top="0.75" bottom="0.75" header="0.3" footer="0.3"/>
  <pageSetup paperSize="9" scale="7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6"/>
  <sheetViews>
    <sheetView view="pageBreakPreview" topLeftCell="C31" zoomScale="80" zoomScaleNormal="100" zoomScaleSheetLayoutView="80" workbookViewId="0">
      <selection activeCell="D39" sqref="D39"/>
    </sheetView>
  </sheetViews>
  <sheetFormatPr defaultRowHeight="15"/>
  <cols>
    <col min="1" max="1" width="3.7109375" customWidth="1"/>
    <col min="2" max="2" width="34.28515625" customWidth="1"/>
    <col min="3" max="3" width="20.28515625" customWidth="1"/>
    <col min="4" max="4" width="18.7109375" customWidth="1"/>
    <col min="5" max="5" width="18" customWidth="1"/>
    <col min="6" max="6" width="24.140625" customWidth="1"/>
  </cols>
  <sheetData>
    <row r="1" spans="1:6" ht="15.75">
      <c r="B1" s="269" t="s">
        <v>0</v>
      </c>
      <c r="C1" s="269"/>
      <c r="D1" s="269"/>
      <c r="E1" s="269"/>
      <c r="F1" s="269"/>
    </row>
    <row r="3" spans="1:6" ht="15.75">
      <c r="B3" s="255" t="s">
        <v>151</v>
      </c>
      <c r="C3" s="255"/>
      <c r="D3" s="255"/>
      <c r="E3" s="255"/>
      <c r="F3" s="255"/>
    </row>
    <row r="4" spans="1:6" ht="15.75">
      <c r="B4" s="238"/>
      <c r="C4" s="238"/>
      <c r="D4" s="238"/>
      <c r="E4" s="238"/>
      <c r="F4" s="238"/>
    </row>
    <row r="5" spans="1:6" ht="21.6" customHeight="1">
      <c r="A5" s="245">
        <v>3</v>
      </c>
      <c r="B5" s="285" t="s">
        <v>180</v>
      </c>
      <c r="C5" s="285"/>
      <c r="D5" s="285"/>
      <c r="E5" s="285"/>
      <c r="F5" s="285"/>
    </row>
    <row r="6" spans="1:6" ht="12.6" customHeight="1">
      <c r="A6" s="245"/>
      <c r="B6" s="244"/>
      <c r="C6" s="244"/>
      <c r="D6" s="244"/>
      <c r="E6" s="244"/>
      <c r="F6" s="244"/>
    </row>
    <row r="7" spans="1:6">
      <c r="B7" s="219" t="s">
        <v>181</v>
      </c>
      <c r="C7" s="93"/>
      <c r="D7" s="93"/>
      <c r="E7" s="93"/>
      <c r="F7" s="93"/>
    </row>
    <row r="8" spans="1:6">
      <c r="B8" s="93"/>
      <c r="C8" s="93"/>
      <c r="D8" s="93"/>
      <c r="E8" s="93"/>
      <c r="F8" s="94"/>
    </row>
    <row r="9" spans="1:6">
      <c r="B9" s="93" t="s">
        <v>182</v>
      </c>
      <c r="C9" s="93"/>
      <c r="D9" s="93"/>
      <c r="E9" s="93"/>
      <c r="F9" s="93"/>
    </row>
    <row r="10" spans="1:6" ht="23.45" customHeight="1">
      <c r="B10" s="286" t="s">
        <v>183</v>
      </c>
      <c r="C10" s="286"/>
      <c r="D10" s="286"/>
      <c r="E10" s="286"/>
      <c r="F10" s="286"/>
    </row>
    <row r="11" spans="1:6" ht="55.9" customHeight="1">
      <c r="B11" s="80" t="s">
        <v>112</v>
      </c>
      <c r="C11" s="83" t="s">
        <v>184</v>
      </c>
      <c r="D11" s="83" t="s">
        <v>185</v>
      </c>
      <c r="E11" s="83" t="s">
        <v>186</v>
      </c>
      <c r="F11" s="83" t="s">
        <v>187</v>
      </c>
    </row>
    <row r="12" spans="1:6" ht="24" customHeight="1">
      <c r="B12" s="105" t="s">
        <v>188</v>
      </c>
      <c r="C12" s="106">
        <f>SUM(C14:C20)</f>
        <v>20932043.670000002</v>
      </c>
      <c r="D12" s="106">
        <f t="shared" ref="D12:F12" si="0">SUM(D14:D20)</f>
        <v>118751.62</v>
      </c>
      <c r="E12" s="106">
        <f t="shared" si="0"/>
        <v>256780.82</v>
      </c>
      <c r="F12" s="106">
        <f t="shared" si="0"/>
        <v>20794014.469999999</v>
      </c>
    </row>
    <row r="13" spans="1:6" ht="14.45" customHeight="1">
      <c r="B13" s="253" t="s">
        <v>189</v>
      </c>
      <c r="C13" s="107"/>
      <c r="D13" s="107"/>
      <c r="E13" s="107"/>
      <c r="F13" s="107"/>
    </row>
    <row r="14" spans="1:6">
      <c r="B14" s="81" t="s">
        <v>190</v>
      </c>
      <c r="C14" s="82">
        <v>97444</v>
      </c>
      <c r="D14" s="82"/>
      <c r="E14" s="82"/>
      <c r="F14" s="82">
        <f>C14+D14-E14</f>
        <v>97444</v>
      </c>
    </row>
    <row r="15" spans="1:6" ht="21" customHeight="1">
      <c r="B15" s="81" t="s">
        <v>191</v>
      </c>
      <c r="C15" s="82">
        <v>2530806.16</v>
      </c>
      <c r="D15" s="82"/>
      <c r="E15" s="82"/>
      <c r="F15" s="82">
        <f t="shared" ref="F15:F20" si="1">C15+D15-E15</f>
        <v>2530806.16</v>
      </c>
    </row>
    <row r="16" spans="1:6">
      <c r="B16" s="81" t="s">
        <v>192</v>
      </c>
      <c r="C16" s="82">
        <f>7719337.04+6878383.07</f>
        <v>14597720.109999999</v>
      </c>
      <c r="D16" s="82">
        <f>10000+31074.44</f>
        <v>41074.44</v>
      </c>
      <c r="E16" s="82">
        <v>187154</v>
      </c>
      <c r="F16" s="82">
        <f t="shared" si="1"/>
        <v>14451640.549999999</v>
      </c>
    </row>
    <row r="17" spans="2:6" ht="19.149999999999999" customHeight="1">
      <c r="B17" s="81" t="s">
        <v>193</v>
      </c>
      <c r="C17" s="82">
        <v>0</v>
      </c>
      <c r="D17" s="82"/>
      <c r="E17" s="82"/>
      <c r="F17" s="82">
        <f t="shared" si="1"/>
        <v>0</v>
      </c>
    </row>
    <row r="18" spans="2:6" ht="16.149999999999999" customHeight="1">
      <c r="B18" s="81" t="s">
        <v>194</v>
      </c>
      <c r="C18" s="82">
        <f>644419.67+517075.26+6068.4</f>
        <v>1167563.33</v>
      </c>
      <c r="D18" s="82">
        <f>9095.41+4750.62+1095.62</f>
        <v>14941.649999999998</v>
      </c>
      <c r="E18" s="82">
        <v>207.4</v>
      </c>
      <c r="F18" s="82">
        <f t="shared" si="1"/>
        <v>1182297.58</v>
      </c>
    </row>
    <row r="19" spans="2:6">
      <c r="B19" s="81" t="s">
        <v>195</v>
      </c>
      <c r="C19" s="82">
        <f>890375.29+256264.8</f>
        <v>1146640.0900000001</v>
      </c>
      <c r="D19" s="82">
        <v>50233</v>
      </c>
      <c r="E19" s="82">
        <v>50075</v>
      </c>
      <c r="F19" s="82">
        <f t="shared" si="1"/>
        <v>1146798.0900000001</v>
      </c>
    </row>
    <row r="20" spans="2:6">
      <c r="B20" s="81" t="s">
        <v>196</v>
      </c>
      <c r="C20" s="82">
        <f>958070.47+427350.23+6449.28</f>
        <v>1391869.98</v>
      </c>
      <c r="D20" s="82">
        <f>11338.14+1164.39</f>
        <v>12502.529999999999</v>
      </c>
      <c r="E20" s="82">
        <v>19344.419999999998</v>
      </c>
      <c r="F20" s="82">
        <f t="shared" si="1"/>
        <v>1385028.09</v>
      </c>
    </row>
    <row r="22" spans="2:6" ht="24.6" customHeight="1">
      <c r="B22" s="286" t="s">
        <v>197</v>
      </c>
      <c r="C22" s="286"/>
      <c r="D22" s="286"/>
      <c r="E22" s="286"/>
      <c r="F22" s="286"/>
    </row>
    <row r="23" spans="2:6" ht="60">
      <c r="B23" s="80" t="s">
        <v>112</v>
      </c>
      <c r="C23" s="83" t="s">
        <v>198</v>
      </c>
      <c r="D23" s="83" t="s">
        <v>199</v>
      </c>
      <c r="E23" s="83" t="s">
        <v>200</v>
      </c>
      <c r="F23" s="83" t="s">
        <v>201</v>
      </c>
    </row>
    <row r="24" spans="2:6">
      <c r="B24" s="105" t="s">
        <v>202</v>
      </c>
      <c r="C24" s="106">
        <f>SUM(C26:C32)</f>
        <v>13306055.68</v>
      </c>
      <c r="D24" s="106">
        <f t="shared" ref="D24" si="2">SUM(D26:D32)</f>
        <v>531720.25</v>
      </c>
      <c r="E24" s="106">
        <f t="shared" ref="E24" si="3">SUM(E26:E32)</f>
        <v>258596.25</v>
      </c>
      <c r="F24" s="106">
        <f t="shared" ref="F24" si="4">SUM(F26:F32)</f>
        <v>13579179.679999998</v>
      </c>
    </row>
    <row r="25" spans="2:6">
      <c r="B25" s="253" t="s">
        <v>189</v>
      </c>
      <c r="C25" s="107"/>
      <c r="D25" s="107"/>
      <c r="E25" s="107"/>
      <c r="F25" s="107"/>
    </row>
    <row r="26" spans="2:6">
      <c r="B26" s="81" t="s">
        <v>190</v>
      </c>
      <c r="C26" s="82">
        <v>0</v>
      </c>
      <c r="D26" s="82"/>
      <c r="E26" s="82"/>
      <c r="F26" s="82">
        <f>C26+D26-E26</f>
        <v>0</v>
      </c>
    </row>
    <row r="27" spans="2:6" ht="21" customHeight="1">
      <c r="B27" s="81" t="s">
        <v>191</v>
      </c>
      <c r="C27" s="82">
        <v>2530806.16</v>
      </c>
      <c r="D27" s="82"/>
      <c r="E27" s="82"/>
      <c r="F27" s="82">
        <f t="shared" ref="F27:F32" si="5">C27+D27-E27</f>
        <v>2530806.16</v>
      </c>
    </row>
    <row r="28" spans="2:6">
      <c r="B28" s="81" t="s">
        <v>192</v>
      </c>
      <c r="C28" s="82">
        <f>3996155.31+3416835.37</f>
        <v>7412990.6799999997</v>
      </c>
      <c r="D28" s="82">
        <f>198259.31+198488.32</f>
        <v>396747.63</v>
      </c>
      <c r="E28" s="82">
        <v>185469.32</v>
      </c>
      <c r="F28" s="82">
        <f t="shared" si="5"/>
        <v>7624268.9899999993</v>
      </c>
    </row>
    <row r="29" spans="2:6" ht="21" customHeight="1">
      <c r="B29" s="81" t="s">
        <v>193</v>
      </c>
      <c r="C29" s="82">
        <v>0</v>
      </c>
      <c r="D29" s="82"/>
      <c r="E29" s="82"/>
      <c r="F29" s="82">
        <f t="shared" si="5"/>
        <v>0</v>
      </c>
    </row>
    <row r="30" spans="2:6" ht="20.45" customHeight="1">
      <c r="B30" s="81" t="s">
        <v>194</v>
      </c>
      <c r="C30" s="82">
        <f>612684.04+490349.26</f>
        <v>1103033.3</v>
      </c>
      <c r="D30" s="82">
        <f>22956.99+3683.26</f>
        <v>26640.25</v>
      </c>
      <c r="E30" s="82">
        <v>3207.41</v>
      </c>
      <c r="F30" s="82">
        <f t="shared" si="5"/>
        <v>1126466.1400000001</v>
      </c>
    </row>
    <row r="31" spans="2:6">
      <c r="B31" s="81" t="s">
        <v>195</v>
      </c>
      <c r="C31" s="82">
        <f>854250.72+140887.05</f>
        <v>995137.77</v>
      </c>
      <c r="D31" s="82">
        <f>51323.39+23543.72</f>
        <v>74867.11</v>
      </c>
      <c r="E31" s="82">
        <v>50575.1</v>
      </c>
      <c r="F31" s="82">
        <f t="shared" si="5"/>
        <v>1019429.7800000001</v>
      </c>
    </row>
    <row r="32" spans="2:6">
      <c r="B32" s="81" t="s">
        <v>196</v>
      </c>
      <c r="C32" s="82">
        <f>885175.61+378912.16</f>
        <v>1264087.77</v>
      </c>
      <c r="D32" s="82">
        <f>13354.76+20110.5</f>
        <v>33465.26</v>
      </c>
      <c r="E32" s="82">
        <v>19344.419999999998</v>
      </c>
      <c r="F32" s="82">
        <f t="shared" si="5"/>
        <v>1278208.6100000001</v>
      </c>
    </row>
    <row r="34" spans="2:6" ht="27.6" customHeight="1">
      <c r="B34" s="284" t="s">
        <v>203</v>
      </c>
      <c r="C34" s="284"/>
      <c r="D34" s="284"/>
      <c r="E34" s="284"/>
      <c r="F34" s="284"/>
    </row>
    <row r="35" spans="2:6" ht="54.6" customHeight="1">
      <c r="B35" s="80" t="s">
        <v>112</v>
      </c>
      <c r="C35" s="83" t="s">
        <v>184</v>
      </c>
      <c r="D35" s="83" t="s">
        <v>185</v>
      </c>
      <c r="E35" s="83" t="s">
        <v>186</v>
      </c>
      <c r="F35" s="83" t="s">
        <v>187</v>
      </c>
    </row>
    <row r="36" spans="2:6" ht="20.45" customHeight="1">
      <c r="B36" s="105" t="s">
        <v>204</v>
      </c>
      <c r="C36" s="106">
        <f>SUM(C38:C39)</f>
        <v>59759.5</v>
      </c>
      <c r="D36" s="106">
        <f>SUM(D38:D39)</f>
        <v>4604.24</v>
      </c>
      <c r="E36" s="106">
        <f>SUM(E38:E39)</f>
        <v>0</v>
      </c>
      <c r="F36" s="106">
        <f>SUM(F38:F39)</f>
        <v>64363.74</v>
      </c>
    </row>
    <row r="37" spans="2:6" ht="15.6" customHeight="1">
      <c r="B37" s="253" t="s">
        <v>189</v>
      </c>
      <c r="C37" s="107"/>
      <c r="D37" s="107"/>
      <c r="E37" s="107"/>
      <c r="F37" s="107"/>
    </row>
    <row r="38" spans="2:6">
      <c r="B38" s="81" t="s">
        <v>205</v>
      </c>
      <c r="C38" s="82">
        <v>32486.18</v>
      </c>
      <c r="D38" s="82">
        <v>4570.45</v>
      </c>
      <c r="E38" s="82"/>
      <c r="F38" s="82">
        <f>C38+D38-E38</f>
        <v>37056.629999999997</v>
      </c>
    </row>
    <row r="39" spans="2:6">
      <c r="B39" s="81" t="s">
        <v>206</v>
      </c>
      <c r="C39" s="82">
        <f>27086.19+187.13</f>
        <v>27273.32</v>
      </c>
      <c r="D39" s="82">
        <v>33.79</v>
      </c>
      <c r="E39" s="82"/>
      <c r="F39" s="82">
        <f t="shared" ref="F39" si="6">C39+D39-E39</f>
        <v>27307.11</v>
      </c>
    </row>
    <row r="41" spans="2:6" ht="25.15" customHeight="1">
      <c r="B41" s="284" t="s">
        <v>207</v>
      </c>
      <c r="C41" s="284"/>
      <c r="D41" s="284"/>
      <c r="E41" s="284"/>
      <c r="F41" s="284"/>
    </row>
    <row r="42" spans="2:6" ht="60">
      <c r="B42" s="80" t="s">
        <v>112</v>
      </c>
      <c r="C42" s="83" t="s">
        <v>198</v>
      </c>
      <c r="D42" s="83" t="s">
        <v>199</v>
      </c>
      <c r="E42" s="83" t="s">
        <v>200</v>
      </c>
      <c r="F42" s="83" t="s">
        <v>201</v>
      </c>
    </row>
    <row r="43" spans="2:6" ht="30">
      <c r="B43" s="108" t="s">
        <v>208</v>
      </c>
      <c r="C43" s="106">
        <f>SUM(C45:C46)</f>
        <v>59206.369999999995</v>
      </c>
      <c r="D43" s="106">
        <f>SUM(D45:D46)</f>
        <v>4570.45</v>
      </c>
      <c r="E43" s="106">
        <f>SUM(E45:E46)</f>
        <v>0</v>
      </c>
      <c r="F43" s="106">
        <f>SUM(F45:F46)</f>
        <v>63776.819999999992</v>
      </c>
    </row>
    <row r="44" spans="2:6">
      <c r="B44" s="253" t="s">
        <v>189</v>
      </c>
      <c r="C44" s="107"/>
      <c r="D44" s="107"/>
      <c r="E44" s="107"/>
      <c r="F44" s="107"/>
    </row>
    <row r="45" spans="2:6">
      <c r="B45" s="81" t="s">
        <v>205</v>
      </c>
      <c r="C45" s="82">
        <v>32120.18</v>
      </c>
      <c r="D45" s="82">
        <v>4570.45</v>
      </c>
      <c r="E45" s="82"/>
      <c r="F45" s="82">
        <f>C45+D45-E45</f>
        <v>36690.629999999997</v>
      </c>
    </row>
    <row r="46" spans="2:6">
      <c r="B46" s="81" t="s">
        <v>206</v>
      </c>
      <c r="C46" s="82">
        <f>27086.19</f>
        <v>27086.19</v>
      </c>
      <c r="D46" s="82"/>
      <c r="E46" s="82"/>
      <c r="F46" s="82">
        <f t="shared" ref="F46" si="7">C46+D46-E46</f>
        <v>27086.19</v>
      </c>
    </row>
  </sheetData>
  <mergeCells count="7">
    <mergeCell ref="B41:F41"/>
    <mergeCell ref="B5:F5"/>
    <mergeCell ref="B1:F1"/>
    <mergeCell ref="B10:F10"/>
    <mergeCell ref="B22:F22"/>
    <mergeCell ref="B34:F34"/>
    <mergeCell ref="B3:F3"/>
  </mergeCells>
  <pageMargins left="0.7" right="0.7" top="0.75" bottom="0.75" header="0.3" footer="0.3"/>
  <pageSetup paperSize="9" scale="7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4"/>
  <sheetViews>
    <sheetView view="pageBreakPreview" topLeftCell="B22" zoomScale="80" zoomScaleNormal="100" zoomScaleSheetLayoutView="80" workbookViewId="0">
      <selection activeCell="C45" sqref="C45"/>
    </sheetView>
  </sheetViews>
  <sheetFormatPr defaultRowHeight="15"/>
  <cols>
    <col min="1" max="1" width="3.7109375" customWidth="1"/>
    <col min="2" max="2" width="34.28515625" customWidth="1"/>
    <col min="3" max="3" width="18.85546875" customWidth="1"/>
    <col min="4" max="4" width="18.7109375" customWidth="1"/>
    <col min="5" max="5" width="19.85546875" customWidth="1"/>
    <col min="6" max="6" width="18.85546875" customWidth="1"/>
  </cols>
  <sheetData>
    <row r="1" spans="1:6" ht="15.75">
      <c r="B1" s="269" t="s">
        <v>0</v>
      </c>
      <c r="C1" s="269"/>
      <c r="D1" s="269"/>
      <c r="E1" s="269"/>
      <c r="F1" s="269"/>
    </row>
    <row r="3" spans="1:6" ht="15.75">
      <c r="B3" s="255" t="s">
        <v>151</v>
      </c>
      <c r="C3" s="255"/>
      <c r="D3" s="255"/>
      <c r="E3" s="255"/>
      <c r="F3" s="255"/>
    </row>
    <row r="4" spans="1:6" ht="16.899999999999999" customHeight="1">
      <c r="A4" s="245"/>
      <c r="B4" s="287"/>
      <c r="C4" s="287"/>
      <c r="D4" s="287"/>
      <c r="E4" s="287"/>
      <c r="F4" s="287"/>
    </row>
    <row r="5" spans="1:6">
      <c r="B5" s="10" t="s">
        <v>181</v>
      </c>
      <c r="C5" s="10"/>
      <c r="D5" s="10"/>
      <c r="E5" s="10"/>
      <c r="F5" s="10"/>
    </row>
    <row r="6" spans="1:6">
      <c r="B6" s="10"/>
      <c r="C6" s="10"/>
      <c r="D6" s="10"/>
      <c r="E6" s="10"/>
      <c r="F6" s="79"/>
    </row>
    <row r="7" spans="1:6">
      <c r="B7" s="10" t="s">
        <v>209</v>
      </c>
      <c r="C7" s="10"/>
      <c r="D7" s="10"/>
      <c r="E7" s="10"/>
      <c r="F7" s="10"/>
    </row>
    <row r="8" spans="1:6" ht="23.45" customHeight="1">
      <c r="B8" s="286" t="s">
        <v>183</v>
      </c>
      <c r="C8" s="286"/>
      <c r="D8" s="286"/>
      <c r="E8" s="286"/>
      <c r="F8" s="286"/>
    </row>
    <row r="9" spans="1:6" ht="55.9" customHeight="1">
      <c r="B9" s="80" t="s">
        <v>112</v>
      </c>
      <c r="C9" s="83" t="s">
        <v>184</v>
      </c>
      <c r="D9" s="83" t="s">
        <v>185</v>
      </c>
      <c r="E9" s="83" t="s">
        <v>186</v>
      </c>
      <c r="F9" s="83" t="s">
        <v>187</v>
      </c>
    </row>
    <row r="10" spans="1:6" ht="24" customHeight="1">
      <c r="B10" s="105" t="s">
        <v>188</v>
      </c>
      <c r="C10" s="106">
        <f>SUM(C12:C18)</f>
        <v>21012214.009999998</v>
      </c>
      <c r="D10" s="106">
        <f t="shared" ref="D10:F10" si="0">SUM(D12:D18)</f>
        <v>317982.64</v>
      </c>
      <c r="E10" s="106">
        <f t="shared" si="0"/>
        <v>398152.98</v>
      </c>
      <c r="F10" s="106">
        <f t="shared" si="0"/>
        <v>20932043.670000002</v>
      </c>
    </row>
    <row r="11" spans="1:6" ht="18" customHeight="1">
      <c r="B11" s="253" t="s">
        <v>189</v>
      </c>
      <c r="C11" s="107"/>
      <c r="D11" s="107"/>
      <c r="E11" s="107"/>
      <c r="F11" s="107"/>
    </row>
    <row r="12" spans="1:6">
      <c r="B12" s="81" t="s">
        <v>190</v>
      </c>
      <c r="C12" s="82">
        <v>97444</v>
      </c>
      <c r="D12" s="82"/>
      <c r="E12" s="82"/>
      <c r="F12" s="82">
        <f>C12+D12-E12</f>
        <v>97444</v>
      </c>
    </row>
    <row r="13" spans="1:6" ht="25.5">
      <c r="B13" s="81" t="s">
        <v>191</v>
      </c>
      <c r="C13" s="82">
        <v>2530806.16</v>
      </c>
      <c r="D13" s="82"/>
      <c r="E13" s="82"/>
      <c r="F13" s="82">
        <f t="shared" ref="F13:F18" si="1">C13+D13-E13</f>
        <v>2530806.16</v>
      </c>
    </row>
    <row r="14" spans="1:6">
      <c r="B14" s="81" t="s">
        <v>192</v>
      </c>
      <c r="C14" s="82">
        <f>7958946.24+6878383.07</f>
        <v>14837329.310000001</v>
      </c>
      <c r="D14" s="82"/>
      <c r="E14" s="82">
        <v>239609.2</v>
      </c>
      <c r="F14" s="82">
        <f t="shared" si="1"/>
        <v>14597720.110000001</v>
      </c>
    </row>
    <row r="15" spans="1:6" ht="25.5">
      <c r="B15" s="81" t="s">
        <v>193</v>
      </c>
      <c r="C15" s="82"/>
      <c r="D15" s="82"/>
      <c r="E15" s="82"/>
      <c r="F15" s="82">
        <f t="shared" si="1"/>
        <v>0</v>
      </c>
    </row>
    <row r="16" spans="1:6" ht="21" customHeight="1">
      <c r="B16" s="81" t="s">
        <v>194</v>
      </c>
      <c r="C16" s="82">
        <f>624660.09+491436.44+5527.31</f>
        <v>1121623.8400000001</v>
      </c>
      <c r="D16" s="82">
        <f>37132.99+25638.82+541.09</f>
        <v>63312.899999999994</v>
      </c>
      <c r="E16" s="82">
        <v>17373.41</v>
      </c>
      <c r="F16" s="82">
        <f t="shared" si="1"/>
        <v>1167563.33</v>
      </c>
    </row>
    <row r="17" spans="2:6">
      <c r="B17" s="81" t="s">
        <v>195</v>
      </c>
      <c r="C17" s="82">
        <f>897317.08+199686.16</f>
        <v>1097003.24</v>
      </c>
      <c r="D17" s="82">
        <f>58963.01+117718.6</f>
        <v>176681.61000000002</v>
      </c>
      <c r="E17" s="82">
        <f>65904.8+61139.96</f>
        <v>127044.76000000001</v>
      </c>
      <c r="F17" s="82">
        <f t="shared" si="1"/>
        <v>1146640.0900000001</v>
      </c>
    </row>
    <row r="18" spans="2:6">
      <c r="B18" s="81" t="s">
        <v>196</v>
      </c>
      <c r="C18" s="82">
        <f>894783+427350.23+5874.23</f>
        <v>1328007.46</v>
      </c>
      <c r="D18" s="82">
        <f>77413.08+575.05</f>
        <v>77988.13</v>
      </c>
      <c r="E18" s="82">
        <v>14125.61</v>
      </c>
      <c r="F18" s="82">
        <f t="shared" si="1"/>
        <v>1391869.9799999997</v>
      </c>
    </row>
    <row r="20" spans="2:6" ht="24.6" customHeight="1">
      <c r="B20" s="286" t="s">
        <v>197</v>
      </c>
      <c r="C20" s="286"/>
      <c r="D20" s="286"/>
      <c r="E20" s="286"/>
      <c r="F20" s="286"/>
    </row>
    <row r="21" spans="2:6" ht="60">
      <c r="B21" s="80" t="s">
        <v>112</v>
      </c>
      <c r="C21" s="83" t="s">
        <v>198</v>
      </c>
      <c r="D21" s="83" t="s">
        <v>199</v>
      </c>
      <c r="E21" s="83" t="s">
        <v>200</v>
      </c>
      <c r="F21" s="83" t="s">
        <v>201</v>
      </c>
    </row>
    <row r="22" spans="2:6">
      <c r="B22" s="105" t="s">
        <v>202</v>
      </c>
      <c r="C22" s="106">
        <f>SUM(C24:C30)</f>
        <v>13021301.400000002</v>
      </c>
      <c r="D22" s="106">
        <f t="shared" ref="D22:F22" si="2">SUM(D24:D30)</f>
        <v>607077.43999999994</v>
      </c>
      <c r="E22" s="106">
        <f t="shared" si="2"/>
        <v>322323.15999999997</v>
      </c>
      <c r="F22" s="106">
        <f t="shared" si="2"/>
        <v>13306055.68</v>
      </c>
    </row>
    <row r="23" spans="2:6">
      <c r="B23" s="253" t="s">
        <v>189</v>
      </c>
      <c r="C23" s="107"/>
      <c r="D23" s="107"/>
      <c r="E23" s="107"/>
      <c r="F23" s="107"/>
    </row>
    <row r="24" spans="2:6">
      <c r="B24" s="81" t="s">
        <v>190</v>
      </c>
      <c r="C24" s="82">
        <v>0</v>
      </c>
      <c r="D24" s="82"/>
      <c r="E24" s="82"/>
      <c r="F24" s="82">
        <f>C24+D24-E24</f>
        <v>0</v>
      </c>
    </row>
    <row r="25" spans="2:6" ht="21" customHeight="1">
      <c r="B25" s="81" t="s">
        <v>191</v>
      </c>
      <c r="C25" s="82">
        <v>2530806.16</v>
      </c>
      <c r="D25" s="82"/>
      <c r="E25" s="82"/>
      <c r="F25" s="82">
        <f t="shared" ref="F25:F30" si="3">C25+D25-E25</f>
        <v>2530806.16</v>
      </c>
    </row>
    <row r="26" spans="2:6">
      <c r="B26" s="81" t="s">
        <v>192</v>
      </c>
      <c r="C26" s="82">
        <f>3981805.28+3218716.05</f>
        <v>7200521.3300000001</v>
      </c>
      <c r="D26" s="82">
        <f>192326.14+198119.32</f>
        <v>390445.46</v>
      </c>
      <c r="E26" s="82">
        <v>177976.11</v>
      </c>
      <c r="F26" s="82">
        <f t="shared" si="3"/>
        <v>7412990.6799999997</v>
      </c>
    </row>
    <row r="27" spans="2:6" ht="25.15" customHeight="1">
      <c r="B27" s="81" t="s">
        <v>193</v>
      </c>
      <c r="C27" s="82"/>
      <c r="D27" s="82"/>
      <c r="E27" s="82"/>
      <c r="F27" s="82">
        <f t="shared" si="3"/>
        <v>0</v>
      </c>
    </row>
    <row r="28" spans="2:6" ht="20.45" customHeight="1">
      <c r="B28" s="81" t="s">
        <v>194</v>
      </c>
      <c r="C28" s="82">
        <f>574293.97+487081.57</f>
        <v>1061375.54</v>
      </c>
      <c r="D28" s="82">
        <f>54213.48+3267.69</f>
        <v>57481.170000000006</v>
      </c>
      <c r="E28" s="82">
        <v>15823.41</v>
      </c>
      <c r="F28" s="82">
        <f t="shared" si="3"/>
        <v>1103033.3</v>
      </c>
    </row>
    <row r="29" spans="2:6">
      <c r="B29" s="81" t="s">
        <v>195</v>
      </c>
      <c r="C29" s="82">
        <f>850854.17+199686.16</f>
        <v>1050540.33</v>
      </c>
      <c r="D29" s="82">
        <f>65454.63+2340.85</f>
        <v>67795.48</v>
      </c>
      <c r="E29" s="82">
        <f>62058.08+61139.96</f>
        <v>123198.04000000001</v>
      </c>
      <c r="F29" s="82">
        <f t="shared" si="3"/>
        <v>995137.77</v>
      </c>
    </row>
    <row r="30" spans="2:6">
      <c r="B30" s="81" t="s">
        <v>196</v>
      </c>
      <c r="C30" s="82">
        <f>822372.89+355685.15</f>
        <v>1178058.04</v>
      </c>
      <c r="D30" s="82">
        <f>68128.32+23227.01</f>
        <v>91355.33</v>
      </c>
      <c r="E30" s="82">
        <v>5325.6</v>
      </c>
      <c r="F30" s="82">
        <f t="shared" si="3"/>
        <v>1264087.77</v>
      </c>
    </row>
    <row r="32" spans="2:6" ht="27.6" customHeight="1">
      <c r="B32" s="284" t="s">
        <v>203</v>
      </c>
      <c r="C32" s="284"/>
      <c r="D32" s="284"/>
      <c r="E32" s="284"/>
      <c r="F32" s="284"/>
    </row>
    <row r="33" spans="2:6" ht="54.6" customHeight="1">
      <c r="B33" s="80" t="s">
        <v>112</v>
      </c>
      <c r="C33" s="83" t="s">
        <v>184</v>
      </c>
      <c r="D33" s="83" t="s">
        <v>185</v>
      </c>
      <c r="E33" s="83" t="s">
        <v>186</v>
      </c>
      <c r="F33" s="83" t="s">
        <v>187</v>
      </c>
    </row>
    <row r="34" spans="2:6" ht="20.45" customHeight="1">
      <c r="B34" s="105" t="s">
        <v>204</v>
      </c>
      <c r="C34" s="106">
        <f>SUM(C36:C37)</f>
        <v>59742.81</v>
      </c>
      <c r="D34" s="106">
        <f>SUM(D36:D37)</f>
        <v>16.690000000000001</v>
      </c>
      <c r="E34" s="106">
        <f>SUM(E36:E37)</f>
        <v>0</v>
      </c>
      <c r="F34" s="106">
        <f>SUM(F36:F37)</f>
        <v>59759.5</v>
      </c>
    </row>
    <row r="35" spans="2:6" ht="14.45" customHeight="1">
      <c r="B35" s="253" t="s">
        <v>189</v>
      </c>
      <c r="C35" s="107"/>
      <c r="D35" s="107"/>
      <c r="E35" s="107"/>
      <c r="F35" s="107"/>
    </row>
    <row r="36" spans="2:6">
      <c r="B36" s="81" t="s">
        <v>205</v>
      </c>
      <c r="C36" s="82">
        <f>32486.18</f>
        <v>32486.18</v>
      </c>
      <c r="D36" s="82"/>
      <c r="E36" s="82"/>
      <c r="F36" s="82">
        <f>C36+D36-E36</f>
        <v>32486.18</v>
      </c>
    </row>
    <row r="37" spans="2:6">
      <c r="B37" s="81" t="s">
        <v>206</v>
      </c>
      <c r="C37" s="82">
        <f>170.44+27086.19</f>
        <v>27256.629999999997</v>
      </c>
      <c r="D37" s="82">
        <v>16.690000000000001</v>
      </c>
      <c r="E37" s="82"/>
      <c r="F37" s="82">
        <f t="shared" ref="F37" si="4">C37+D37-E37</f>
        <v>27273.319999999996</v>
      </c>
    </row>
    <row r="39" spans="2:6" ht="25.15" customHeight="1">
      <c r="B39" s="284" t="s">
        <v>207</v>
      </c>
      <c r="C39" s="284"/>
      <c r="D39" s="284"/>
      <c r="E39" s="284"/>
      <c r="F39" s="284"/>
    </row>
    <row r="40" spans="2:6" ht="60">
      <c r="B40" s="80" t="s">
        <v>112</v>
      </c>
      <c r="C40" s="83" t="s">
        <v>198</v>
      </c>
      <c r="D40" s="83" t="s">
        <v>199</v>
      </c>
      <c r="E40" s="83" t="s">
        <v>200</v>
      </c>
      <c r="F40" s="83" t="s">
        <v>201</v>
      </c>
    </row>
    <row r="41" spans="2:6" ht="30">
      <c r="B41" s="108" t="s">
        <v>208</v>
      </c>
      <c r="C41" s="106">
        <f>SUM(C43:C44)</f>
        <v>58849.67</v>
      </c>
      <c r="D41" s="106">
        <f t="shared" ref="D41:F41" si="5">SUM(D43:D44)</f>
        <v>356.7</v>
      </c>
      <c r="E41" s="106">
        <f t="shared" si="5"/>
        <v>0</v>
      </c>
      <c r="F41" s="106">
        <f t="shared" si="5"/>
        <v>59206.369999999995</v>
      </c>
    </row>
    <row r="42" spans="2:6">
      <c r="B42" s="253" t="s">
        <v>189</v>
      </c>
      <c r="C42" s="107"/>
      <c r="D42" s="107"/>
      <c r="E42" s="107"/>
      <c r="F42" s="107"/>
    </row>
    <row r="43" spans="2:6">
      <c r="B43" s="81" t="s">
        <v>205</v>
      </c>
      <c r="C43" s="82">
        <f>31763.48</f>
        <v>31763.48</v>
      </c>
      <c r="D43" s="82">
        <v>356.7</v>
      </c>
      <c r="E43" s="82"/>
      <c r="F43" s="82">
        <f>C43+D43-E43</f>
        <v>32120.18</v>
      </c>
    </row>
    <row r="44" spans="2:6">
      <c r="B44" s="81" t="s">
        <v>206</v>
      </c>
      <c r="C44" s="82">
        <v>27086.19</v>
      </c>
      <c r="D44" s="82"/>
      <c r="E44" s="82"/>
      <c r="F44" s="82">
        <f t="shared" ref="F44" si="6">C44+D44-E44</f>
        <v>27086.19</v>
      </c>
    </row>
  </sheetData>
  <mergeCells count="7">
    <mergeCell ref="B39:F39"/>
    <mergeCell ref="B1:F1"/>
    <mergeCell ref="B4:F4"/>
    <mergeCell ref="B8:F8"/>
    <mergeCell ref="B20:F20"/>
    <mergeCell ref="B32:F32"/>
    <mergeCell ref="B3:F3"/>
  </mergeCells>
  <pageMargins left="0.7" right="0.7" top="0.75" bottom="0.75" header="0.3" footer="0.3"/>
  <pageSetup paperSize="9" scale="7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L37"/>
  <sheetViews>
    <sheetView view="pageBreakPreview" topLeftCell="A19" zoomScale="92" zoomScaleNormal="120" zoomScaleSheetLayoutView="92" workbookViewId="0">
      <selection activeCell="G14" sqref="G14"/>
    </sheetView>
  </sheetViews>
  <sheetFormatPr defaultRowHeight="15"/>
  <cols>
    <col min="1" max="1" width="4.28515625" customWidth="1"/>
    <col min="2" max="2" width="36.28515625" customWidth="1"/>
    <col min="3" max="3" width="14.42578125" customWidth="1"/>
    <col min="4" max="4" width="11.5703125" customWidth="1"/>
    <col min="5" max="5" width="12.28515625" customWidth="1"/>
    <col min="6" max="6" width="18.140625" customWidth="1"/>
    <col min="7" max="12" width="15.7109375" customWidth="1"/>
  </cols>
  <sheetData>
    <row r="1" spans="2:12" ht="15.75">
      <c r="B1" s="291" t="s">
        <v>0</v>
      </c>
      <c r="C1" s="291"/>
      <c r="D1" s="291"/>
      <c r="E1" s="291"/>
      <c r="F1" s="291"/>
      <c r="G1" s="291"/>
      <c r="H1" s="291"/>
      <c r="I1" s="291"/>
      <c r="J1" s="291"/>
      <c r="K1" s="291"/>
      <c r="L1" s="291"/>
    </row>
    <row r="2" spans="2:12" ht="15.75">
      <c r="B2" s="246"/>
      <c r="C2" s="246"/>
      <c r="D2" s="246"/>
      <c r="E2" s="246"/>
      <c r="F2" s="246"/>
      <c r="G2" s="246"/>
      <c r="H2" s="246"/>
      <c r="I2" s="246"/>
      <c r="J2" s="246"/>
      <c r="K2" s="246"/>
      <c r="L2" s="246"/>
    </row>
    <row r="3" spans="2:12" ht="15.75">
      <c r="B3" s="255" t="s">
        <v>151</v>
      </c>
      <c r="C3" s="255"/>
      <c r="D3" s="255"/>
      <c r="E3" s="255"/>
      <c r="F3" s="255"/>
      <c r="G3" s="255"/>
      <c r="H3" s="255"/>
      <c r="I3" s="255"/>
      <c r="J3" s="255"/>
      <c r="K3" s="255"/>
      <c r="L3" s="255"/>
    </row>
    <row r="5" spans="2:12">
      <c r="B5" s="10" t="s">
        <v>210</v>
      </c>
      <c r="C5" s="10"/>
      <c r="D5" s="10"/>
      <c r="E5" s="10"/>
    </row>
    <row r="6" spans="2:12">
      <c r="B6" s="10"/>
      <c r="C6" s="10"/>
      <c r="D6" s="10"/>
      <c r="E6" s="10"/>
    </row>
    <row r="7" spans="2:12">
      <c r="B7" s="10" t="s">
        <v>211</v>
      </c>
      <c r="C7" s="10"/>
      <c r="D7" s="10"/>
    </row>
    <row r="9" spans="2:12" ht="37.15" customHeight="1">
      <c r="B9" s="292" t="s">
        <v>112</v>
      </c>
      <c r="C9" s="292" t="s">
        <v>212</v>
      </c>
      <c r="D9" s="296" t="s">
        <v>213</v>
      </c>
      <c r="E9" s="294" t="s">
        <v>214</v>
      </c>
      <c r="F9" s="292" t="s">
        <v>215</v>
      </c>
      <c r="G9" s="288" t="s">
        <v>216</v>
      </c>
      <c r="H9" s="289"/>
      <c r="I9" s="289"/>
      <c r="J9" s="290"/>
      <c r="K9" s="288" t="s">
        <v>217</v>
      </c>
      <c r="L9" s="290"/>
    </row>
    <row r="10" spans="2:12" ht="45">
      <c r="B10" s="293"/>
      <c r="C10" s="293"/>
      <c r="D10" s="297"/>
      <c r="E10" s="295"/>
      <c r="F10" s="293"/>
      <c r="G10" s="83" t="s">
        <v>218</v>
      </c>
      <c r="H10" s="86" t="s">
        <v>219</v>
      </c>
      <c r="I10" s="86" t="s">
        <v>220</v>
      </c>
      <c r="J10" s="83" t="s">
        <v>221</v>
      </c>
      <c r="K10" s="83" t="s">
        <v>218</v>
      </c>
      <c r="L10" s="83" t="s">
        <v>221</v>
      </c>
    </row>
    <row r="11" spans="2:12" ht="30">
      <c r="B11" s="103" t="s">
        <v>222</v>
      </c>
      <c r="C11" s="104">
        <f>SUM(C13:C21)</f>
        <v>3000</v>
      </c>
      <c r="D11" s="104">
        <f t="shared" ref="D11:L11" si="0">SUM(D13:D21)</f>
        <v>0</v>
      </c>
      <c r="E11" s="104">
        <f t="shared" si="0"/>
        <v>0</v>
      </c>
      <c r="F11" s="104">
        <f t="shared" si="0"/>
        <v>3000</v>
      </c>
      <c r="G11" s="104">
        <f t="shared" si="0"/>
        <v>3000</v>
      </c>
      <c r="H11" s="104">
        <f t="shared" si="0"/>
        <v>0</v>
      </c>
      <c r="I11" s="104">
        <f t="shared" si="0"/>
        <v>0</v>
      </c>
      <c r="J11" s="104">
        <f t="shared" si="0"/>
        <v>3000</v>
      </c>
      <c r="K11" s="104">
        <f t="shared" si="0"/>
        <v>0</v>
      </c>
      <c r="L11" s="104">
        <f t="shared" si="0"/>
        <v>0</v>
      </c>
    </row>
    <row r="12" spans="2:12" ht="18.75" customHeight="1">
      <c r="B12" s="109" t="s">
        <v>189</v>
      </c>
      <c r="C12" s="97"/>
      <c r="D12" s="110"/>
      <c r="E12" s="110"/>
      <c r="F12" s="111"/>
      <c r="G12" s="97"/>
      <c r="H12" s="110"/>
      <c r="I12" s="110"/>
      <c r="J12" s="112"/>
      <c r="K12" s="112"/>
      <c r="L12" s="112"/>
    </row>
    <row r="13" spans="2:12">
      <c r="B13" s="87" t="s">
        <v>223</v>
      </c>
      <c r="C13" s="88">
        <v>3000</v>
      </c>
      <c r="D13" s="88"/>
      <c r="E13" s="88"/>
      <c r="F13" s="90">
        <f>C13+D13-E13</f>
        <v>3000</v>
      </c>
      <c r="G13" s="88">
        <v>3000</v>
      </c>
      <c r="H13" s="88"/>
      <c r="I13" s="88"/>
      <c r="J13" s="91">
        <f>G13+H13-I13</f>
        <v>3000</v>
      </c>
      <c r="K13" s="91">
        <f>C13-G13</f>
        <v>0</v>
      </c>
      <c r="L13" s="91">
        <f>F13-J13</f>
        <v>0</v>
      </c>
    </row>
    <row r="14" spans="2:12">
      <c r="B14" s="87"/>
      <c r="C14" s="88"/>
      <c r="D14" s="88"/>
      <c r="E14" s="88"/>
      <c r="F14" s="90">
        <f t="shared" ref="F14:F21" si="1">C14+D14-E14</f>
        <v>0</v>
      </c>
      <c r="G14" s="88"/>
      <c r="H14" s="88"/>
      <c r="I14" s="88"/>
      <c r="J14" s="91">
        <f t="shared" ref="J14:J21" si="2">G14+H14-I14</f>
        <v>0</v>
      </c>
      <c r="K14" s="91">
        <f t="shared" ref="K14:K21" si="3">C14-G14</f>
        <v>0</v>
      </c>
      <c r="L14" s="91">
        <f t="shared" ref="L14:L21" si="4">F14-J14</f>
        <v>0</v>
      </c>
    </row>
    <row r="15" spans="2:12">
      <c r="B15" s="87"/>
      <c r="C15" s="88"/>
      <c r="D15" s="88"/>
      <c r="E15" s="88"/>
      <c r="F15" s="90">
        <f t="shared" si="1"/>
        <v>0</v>
      </c>
      <c r="G15" s="88"/>
      <c r="H15" s="88"/>
      <c r="I15" s="88"/>
      <c r="J15" s="91">
        <f t="shared" si="2"/>
        <v>0</v>
      </c>
      <c r="K15" s="91">
        <f t="shared" si="3"/>
        <v>0</v>
      </c>
      <c r="L15" s="91">
        <f t="shared" si="4"/>
        <v>0</v>
      </c>
    </row>
    <row r="16" spans="2:12">
      <c r="B16" s="87"/>
      <c r="C16" s="88"/>
      <c r="D16" s="88"/>
      <c r="E16" s="88"/>
      <c r="F16" s="90">
        <f t="shared" si="1"/>
        <v>0</v>
      </c>
      <c r="G16" s="88"/>
      <c r="H16" s="88"/>
      <c r="I16" s="88"/>
      <c r="J16" s="91">
        <f t="shared" si="2"/>
        <v>0</v>
      </c>
      <c r="K16" s="91">
        <f t="shared" si="3"/>
        <v>0</v>
      </c>
      <c r="L16" s="91">
        <f t="shared" si="4"/>
        <v>0</v>
      </c>
    </row>
    <row r="17" spans="2:12">
      <c r="B17" s="87"/>
      <c r="C17" s="88"/>
      <c r="D17" s="88"/>
      <c r="E17" s="88"/>
      <c r="F17" s="90">
        <f t="shared" si="1"/>
        <v>0</v>
      </c>
      <c r="G17" s="88"/>
      <c r="H17" s="88"/>
      <c r="I17" s="88"/>
      <c r="J17" s="91">
        <f t="shared" si="2"/>
        <v>0</v>
      </c>
      <c r="K17" s="91">
        <f t="shared" si="3"/>
        <v>0</v>
      </c>
      <c r="L17" s="91">
        <f t="shared" si="4"/>
        <v>0</v>
      </c>
    </row>
    <row r="18" spans="2:12">
      <c r="B18" s="87"/>
      <c r="C18" s="88"/>
      <c r="D18" s="88"/>
      <c r="E18" s="88"/>
      <c r="F18" s="90">
        <f t="shared" si="1"/>
        <v>0</v>
      </c>
      <c r="G18" s="88"/>
      <c r="H18" s="88"/>
      <c r="I18" s="88"/>
      <c r="J18" s="91">
        <f t="shared" si="2"/>
        <v>0</v>
      </c>
      <c r="K18" s="91">
        <f t="shared" si="3"/>
        <v>0</v>
      </c>
      <c r="L18" s="91">
        <f t="shared" si="4"/>
        <v>0</v>
      </c>
    </row>
    <row r="19" spans="2:12">
      <c r="B19" s="87"/>
      <c r="C19" s="88"/>
      <c r="D19" s="88"/>
      <c r="E19" s="88"/>
      <c r="F19" s="90">
        <f t="shared" si="1"/>
        <v>0</v>
      </c>
      <c r="G19" s="88"/>
      <c r="H19" s="88"/>
      <c r="I19" s="88"/>
      <c r="J19" s="91">
        <f t="shared" si="2"/>
        <v>0</v>
      </c>
      <c r="K19" s="91">
        <f t="shared" si="3"/>
        <v>0</v>
      </c>
      <c r="L19" s="91">
        <f t="shared" si="4"/>
        <v>0</v>
      </c>
    </row>
    <row r="20" spans="2:12">
      <c r="B20" s="87"/>
      <c r="C20" s="88"/>
      <c r="D20" s="88"/>
      <c r="E20" s="88"/>
      <c r="F20" s="90">
        <f t="shared" si="1"/>
        <v>0</v>
      </c>
      <c r="G20" s="88"/>
      <c r="H20" s="88"/>
      <c r="I20" s="88"/>
      <c r="J20" s="91">
        <f t="shared" si="2"/>
        <v>0</v>
      </c>
      <c r="K20" s="91">
        <f t="shared" si="3"/>
        <v>0</v>
      </c>
      <c r="L20" s="91">
        <f t="shared" si="4"/>
        <v>0</v>
      </c>
    </row>
    <row r="21" spans="2:12">
      <c r="B21" s="87"/>
      <c r="C21" s="88"/>
      <c r="D21" s="88"/>
      <c r="E21" s="88"/>
      <c r="F21" s="90">
        <f t="shared" si="1"/>
        <v>0</v>
      </c>
      <c r="G21" s="88"/>
      <c r="H21" s="88"/>
      <c r="I21" s="88"/>
      <c r="J21" s="91">
        <f t="shared" si="2"/>
        <v>0</v>
      </c>
      <c r="K21" s="91">
        <f t="shared" si="3"/>
        <v>0</v>
      </c>
      <c r="L21" s="91">
        <f t="shared" si="4"/>
        <v>0</v>
      </c>
    </row>
    <row r="23" spans="2:12">
      <c r="B23" s="10" t="s">
        <v>224</v>
      </c>
      <c r="C23" s="10"/>
      <c r="D23" s="10"/>
    </row>
    <row r="25" spans="2:12" ht="29.45" customHeight="1">
      <c r="B25" s="292" t="s">
        <v>112</v>
      </c>
      <c r="C25" s="292" t="s">
        <v>212</v>
      </c>
      <c r="D25" s="294" t="s">
        <v>213</v>
      </c>
      <c r="E25" s="294" t="s">
        <v>214</v>
      </c>
      <c r="F25" s="292" t="s">
        <v>215</v>
      </c>
      <c r="G25" s="288" t="s">
        <v>216</v>
      </c>
      <c r="H25" s="289"/>
      <c r="I25" s="289"/>
      <c r="J25" s="290"/>
      <c r="K25" s="288" t="s">
        <v>217</v>
      </c>
      <c r="L25" s="290"/>
    </row>
    <row r="26" spans="2:12" ht="55.9" customHeight="1">
      <c r="B26" s="293"/>
      <c r="C26" s="293"/>
      <c r="D26" s="295"/>
      <c r="E26" s="295"/>
      <c r="F26" s="293"/>
      <c r="G26" s="83" t="s">
        <v>218</v>
      </c>
      <c r="H26" s="86" t="s">
        <v>219</v>
      </c>
      <c r="I26" s="86" t="s">
        <v>220</v>
      </c>
      <c r="J26" s="83" t="s">
        <v>221</v>
      </c>
      <c r="K26" s="83" t="s">
        <v>218</v>
      </c>
      <c r="L26" s="83" t="s">
        <v>221</v>
      </c>
    </row>
    <row r="27" spans="2:12" ht="30">
      <c r="B27" s="103" t="s">
        <v>222</v>
      </c>
      <c r="C27" s="104">
        <f>SUM(C29:C37)</f>
        <v>3000</v>
      </c>
      <c r="D27" s="104">
        <f t="shared" ref="D27:L27" si="5">SUM(D29:D37)</f>
        <v>0</v>
      </c>
      <c r="E27" s="104">
        <f t="shared" si="5"/>
        <v>0</v>
      </c>
      <c r="F27" s="104">
        <f t="shared" si="5"/>
        <v>3000</v>
      </c>
      <c r="G27" s="104">
        <f t="shared" si="5"/>
        <v>3000</v>
      </c>
      <c r="H27" s="104">
        <f t="shared" si="5"/>
        <v>0</v>
      </c>
      <c r="I27" s="104">
        <f t="shared" si="5"/>
        <v>0</v>
      </c>
      <c r="J27" s="104">
        <f t="shared" si="5"/>
        <v>3000</v>
      </c>
      <c r="K27" s="104">
        <f t="shared" si="5"/>
        <v>0</v>
      </c>
      <c r="L27" s="104">
        <f t="shared" si="5"/>
        <v>0</v>
      </c>
    </row>
    <row r="28" spans="2:12">
      <c r="B28" s="109" t="s">
        <v>189</v>
      </c>
      <c r="C28" s="97"/>
      <c r="D28" s="110"/>
      <c r="E28" s="110"/>
      <c r="F28" s="111"/>
      <c r="G28" s="97"/>
      <c r="H28" s="110"/>
      <c r="I28" s="110"/>
      <c r="J28" s="112"/>
      <c r="K28" s="112"/>
      <c r="L28" s="112"/>
    </row>
    <row r="29" spans="2:12">
      <c r="B29" s="87" t="s">
        <v>223</v>
      </c>
      <c r="C29" s="88">
        <v>3000</v>
      </c>
      <c r="D29" s="88"/>
      <c r="E29" s="88"/>
      <c r="F29" s="90">
        <f>C29+D29-E29</f>
        <v>3000</v>
      </c>
      <c r="G29" s="88">
        <v>3000</v>
      </c>
      <c r="H29" s="88"/>
      <c r="I29" s="91"/>
      <c r="J29" s="91">
        <f>G29+H29-I29</f>
        <v>3000</v>
      </c>
      <c r="K29" s="91">
        <f>C29-G29</f>
        <v>0</v>
      </c>
      <c r="L29" s="91">
        <f>F29-J29</f>
        <v>0</v>
      </c>
    </row>
    <row r="30" spans="2:12">
      <c r="B30" s="87"/>
      <c r="C30" s="88"/>
      <c r="D30" s="88"/>
      <c r="E30" s="88"/>
      <c r="F30" s="90">
        <f t="shared" ref="F30:F37" si="6">C30+D30-E30</f>
        <v>0</v>
      </c>
      <c r="G30" s="88"/>
      <c r="H30" s="88"/>
      <c r="I30" s="88"/>
      <c r="J30" s="91">
        <f t="shared" ref="J30:J37" si="7">G30+H30-I30</f>
        <v>0</v>
      </c>
      <c r="K30" s="91">
        <f t="shared" ref="K30:K37" si="8">C30-G30</f>
        <v>0</v>
      </c>
      <c r="L30" s="91">
        <f t="shared" ref="L30:L37" si="9">F30-J30</f>
        <v>0</v>
      </c>
    </row>
    <row r="31" spans="2:12">
      <c r="B31" s="87"/>
      <c r="C31" s="88"/>
      <c r="D31" s="88"/>
      <c r="E31" s="88"/>
      <c r="F31" s="90">
        <f t="shared" si="6"/>
        <v>0</v>
      </c>
      <c r="G31" s="88"/>
      <c r="H31" s="88"/>
      <c r="I31" s="88"/>
      <c r="J31" s="91">
        <f t="shared" si="7"/>
        <v>0</v>
      </c>
      <c r="K31" s="91">
        <f t="shared" si="8"/>
        <v>0</v>
      </c>
      <c r="L31" s="91">
        <f t="shared" si="9"/>
        <v>0</v>
      </c>
    </row>
    <row r="32" spans="2:12">
      <c r="B32" s="87"/>
      <c r="C32" s="88"/>
      <c r="D32" s="88"/>
      <c r="E32" s="88"/>
      <c r="F32" s="90">
        <f t="shared" si="6"/>
        <v>0</v>
      </c>
      <c r="G32" s="88"/>
      <c r="H32" s="88"/>
      <c r="I32" s="88"/>
      <c r="J32" s="91">
        <f t="shared" si="7"/>
        <v>0</v>
      </c>
      <c r="K32" s="91">
        <f t="shared" si="8"/>
        <v>0</v>
      </c>
      <c r="L32" s="91">
        <f t="shared" si="9"/>
        <v>0</v>
      </c>
    </row>
    <row r="33" spans="2:12">
      <c r="B33" s="87"/>
      <c r="C33" s="88"/>
      <c r="D33" s="88"/>
      <c r="E33" s="88"/>
      <c r="F33" s="90">
        <f t="shared" si="6"/>
        <v>0</v>
      </c>
      <c r="G33" s="88"/>
      <c r="H33" s="88"/>
      <c r="I33" s="88"/>
      <c r="J33" s="91">
        <f t="shared" si="7"/>
        <v>0</v>
      </c>
      <c r="K33" s="91">
        <f t="shared" si="8"/>
        <v>0</v>
      </c>
      <c r="L33" s="91">
        <f t="shared" si="9"/>
        <v>0</v>
      </c>
    </row>
    <row r="34" spans="2:12">
      <c r="B34" s="87"/>
      <c r="C34" s="88"/>
      <c r="D34" s="88"/>
      <c r="E34" s="88"/>
      <c r="F34" s="90">
        <f t="shared" si="6"/>
        <v>0</v>
      </c>
      <c r="G34" s="88"/>
      <c r="H34" s="88"/>
      <c r="I34" s="88"/>
      <c r="J34" s="91">
        <f t="shared" si="7"/>
        <v>0</v>
      </c>
      <c r="K34" s="91">
        <f t="shared" si="8"/>
        <v>0</v>
      </c>
      <c r="L34" s="91">
        <f t="shared" si="9"/>
        <v>0</v>
      </c>
    </row>
    <row r="35" spans="2:12">
      <c r="B35" s="87"/>
      <c r="C35" s="88"/>
      <c r="D35" s="88"/>
      <c r="E35" s="88"/>
      <c r="F35" s="90">
        <f t="shared" si="6"/>
        <v>0</v>
      </c>
      <c r="G35" s="88"/>
      <c r="H35" s="88"/>
      <c r="I35" s="88"/>
      <c r="J35" s="91">
        <f t="shared" si="7"/>
        <v>0</v>
      </c>
      <c r="K35" s="91">
        <f t="shared" si="8"/>
        <v>0</v>
      </c>
      <c r="L35" s="91">
        <f t="shared" si="9"/>
        <v>0</v>
      </c>
    </row>
    <row r="36" spans="2:12">
      <c r="B36" s="87"/>
      <c r="C36" s="88"/>
      <c r="D36" s="88"/>
      <c r="E36" s="88"/>
      <c r="F36" s="90">
        <f t="shared" si="6"/>
        <v>0</v>
      </c>
      <c r="G36" s="88"/>
      <c r="H36" s="88"/>
      <c r="I36" s="88"/>
      <c r="J36" s="91">
        <f t="shared" si="7"/>
        <v>0</v>
      </c>
      <c r="K36" s="91">
        <f t="shared" si="8"/>
        <v>0</v>
      </c>
      <c r="L36" s="91">
        <f t="shared" si="9"/>
        <v>0</v>
      </c>
    </row>
    <row r="37" spans="2:12">
      <c r="B37" s="87"/>
      <c r="C37" s="88"/>
      <c r="D37" s="88"/>
      <c r="E37" s="88"/>
      <c r="F37" s="90">
        <f t="shared" si="6"/>
        <v>0</v>
      </c>
      <c r="G37" s="88"/>
      <c r="H37" s="88"/>
      <c r="I37" s="88"/>
      <c r="J37" s="91">
        <f t="shared" si="7"/>
        <v>0</v>
      </c>
      <c r="K37" s="91">
        <f t="shared" si="8"/>
        <v>0</v>
      </c>
      <c r="L37" s="91">
        <f t="shared" si="9"/>
        <v>0</v>
      </c>
    </row>
  </sheetData>
  <mergeCells count="16">
    <mergeCell ref="G25:J25"/>
    <mergeCell ref="K25:L25"/>
    <mergeCell ref="B1:L1"/>
    <mergeCell ref="B25:B26"/>
    <mergeCell ref="C25:C26"/>
    <mergeCell ref="D25:D26"/>
    <mergeCell ref="E25:E26"/>
    <mergeCell ref="F25:F26"/>
    <mergeCell ref="K9:L9"/>
    <mergeCell ref="G9:J9"/>
    <mergeCell ref="C9:C10"/>
    <mergeCell ref="D9:D10"/>
    <mergeCell ref="E9:E10"/>
    <mergeCell ref="B9:B10"/>
    <mergeCell ref="F9:F10"/>
    <mergeCell ref="B3:L3"/>
  </mergeCells>
  <pageMargins left="0.70866141732283472" right="0.70866141732283472" top="0.74803149606299213" bottom="0.74803149606299213" header="0.31496062992125984" footer="0.31496062992125984"/>
  <pageSetup paperSize="9" scale="6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D39"/>
  <sheetViews>
    <sheetView view="pageBreakPreview" topLeftCell="A16" zoomScale="90" zoomScaleNormal="100" zoomScaleSheetLayoutView="90" workbookViewId="0">
      <selection activeCell="D30" sqref="D30"/>
    </sheetView>
  </sheetViews>
  <sheetFormatPr defaultRowHeight="15"/>
  <cols>
    <col min="1" max="1" width="4.28515625" customWidth="1"/>
    <col min="2" max="2" width="36.28515625" customWidth="1"/>
    <col min="3" max="4" width="18.28515625" customWidth="1"/>
  </cols>
  <sheetData>
    <row r="1" spans="2:4" ht="15.75">
      <c r="B1" s="291" t="s">
        <v>0</v>
      </c>
      <c r="C1" s="291"/>
      <c r="D1" s="291"/>
    </row>
    <row r="2" spans="2:4" ht="15.75">
      <c r="B2" s="246"/>
      <c r="C2" s="246"/>
      <c r="D2" s="246"/>
    </row>
    <row r="3" spans="2:4" ht="15.75">
      <c r="B3" s="255" t="s">
        <v>151</v>
      </c>
      <c r="C3" s="255"/>
      <c r="D3" s="255"/>
    </row>
    <row r="5" spans="2:4">
      <c r="B5" s="10" t="s">
        <v>225</v>
      </c>
      <c r="C5" s="10"/>
      <c r="D5" s="10"/>
    </row>
    <row r="7" spans="2:4" ht="51.6" customHeight="1">
      <c r="B7" s="86" t="s">
        <v>112</v>
      </c>
      <c r="C7" s="84" t="s">
        <v>157</v>
      </c>
      <c r="D7" s="84" t="s">
        <v>226</v>
      </c>
    </row>
    <row r="8" spans="2:4">
      <c r="B8" s="103" t="s">
        <v>227</v>
      </c>
      <c r="C8" s="104">
        <f>SUM(C10:C13)</f>
        <v>8813.98</v>
      </c>
      <c r="D8" s="104">
        <f>SUM(D10:D13)</f>
        <v>10357.86</v>
      </c>
    </row>
    <row r="9" spans="2:4">
      <c r="B9" s="102" t="s">
        <v>189</v>
      </c>
      <c r="C9" s="92"/>
      <c r="D9" s="92"/>
    </row>
    <row r="10" spans="2:4" ht="18.75" customHeight="1">
      <c r="B10" s="87" t="s">
        <v>228</v>
      </c>
      <c r="C10" s="88">
        <f>0+8813.98</f>
        <v>8813.98</v>
      </c>
      <c r="D10" s="89">
        <f>0+10357.86</f>
        <v>10357.86</v>
      </c>
    </row>
    <row r="11" spans="2:4">
      <c r="B11" s="87" t="s">
        <v>229</v>
      </c>
      <c r="C11" s="88">
        <v>0</v>
      </c>
      <c r="D11" s="88">
        <v>0</v>
      </c>
    </row>
    <row r="12" spans="2:4">
      <c r="B12" s="87" t="s">
        <v>230</v>
      </c>
      <c r="C12" s="88">
        <v>0</v>
      </c>
      <c r="D12" s="88">
        <v>0</v>
      </c>
    </row>
    <row r="13" spans="2:4">
      <c r="B13" s="87"/>
      <c r="C13" s="88"/>
      <c r="D13" s="88"/>
    </row>
    <row r="15" spans="2:4">
      <c r="B15" s="10" t="s">
        <v>231</v>
      </c>
      <c r="C15" s="10"/>
      <c r="D15" s="10"/>
    </row>
    <row r="17" spans="2:4" ht="45.6" customHeight="1">
      <c r="B17" s="86" t="s">
        <v>112</v>
      </c>
      <c r="C17" s="84" t="s">
        <v>157</v>
      </c>
      <c r="D17" s="84" t="s">
        <v>226</v>
      </c>
    </row>
    <row r="18" spans="2:4" ht="24.6" customHeight="1">
      <c r="B18" s="248" t="s">
        <v>232</v>
      </c>
      <c r="C18" s="92">
        <f>C19+C20</f>
        <v>1208744.46</v>
      </c>
      <c r="D18" s="92">
        <f>D19+D20</f>
        <v>1409801.3799999997</v>
      </c>
    </row>
    <row r="19" spans="2:4">
      <c r="B19" s="84" t="s">
        <v>233</v>
      </c>
      <c r="C19" s="88">
        <v>0</v>
      </c>
      <c r="D19" s="89">
        <v>0</v>
      </c>
    </row>
    <row r="20" spans="2:4">
      <c r="B20" s="247" t="s">
        <v>234</v>
      </c>
      <c r="C20" s="98">
        <f>SUM(C22:C27)-C28</f>
        <v>1208744.46</v>
      </c>
      <c r="D20" s="98">
        <f>SUM(D22:D27)-D28</f>
        <v>1409801.3799999997</v>
      </c>
    </row>
    <row r="21" spans="2:4">
      <c r="B21" s="96" t="s">
        <v>189</v>
      </c>
      <c r="C21" s="101"/>
      <c r="D21" s="101"/>
    </row>
    <row r="22" spans="2:4">
      <c r="B22" s="87" t="s">
        <v>235</v>
      </c>
      <c r="C22" s="88">
        <f>339605.04+371887.93+242512.83+17184.98-120103.69</f>
        <v>851087.08999999985</v>
      </c>
      <c r="D22" s="88">
        <f>9529.22+1067363.45+103289.16-24450</f>
        <v>1155731.8299999998</v>
      </c>
    </row>
    <row r="23" spans="2:4" ht="45">
      <c r="B23" s="87" t="s">
        <v>236</v>
      </c>
      <c r="C23" s="88">
        <v>18.7</v>
      </c>
      <c r="D23" s="88">
        <f>12428.99+11.2</f>
        <v>12440.19</v>
      </c>
    </row>
    <row r="24" spans="2:4">
      <c r="B24" s="87" t="s">
        <v>237</v>
      </c>
      <c r="C24" s="88">
        <v>17825.060000000001</v>
      </c>
      <c r="D24" s="88">
        <f>14552.76</f>
        <v>14552.76</v>
      </c>
    </row>
    <row r="25" spans="2:4" ht="30">
      <c r="B25" s="87" t="s">
        <v>238</v>
      </c>
      <c r="C25" s="88">
        <v>174598.88</v>
      </c>
      <c r="D25" s="88">
        <f>157000.18</f>
        <v>157000.18</v>
      </c>
    </row>
    <row r="26" spans="2:4">
      <c r="B26" s="87" t="s">
        <v>239</v>
      </c>
      <c r="C26" s="88">
        <f>677706.01+92238.4-767399.9</f>
        <v>2544.5100000000093</v>
      </c>
      <c r="D26" s="88">
        <f>40000+450902.76-490902.76</f>
        <v>0</v>
      </c>
    </row>
    <row r="27" spans="2:4">
      <c r="B27" s="87" t="s">
        <v>240</v>
      </c>
      <c r="C27" s="88">
        <f>268132.16-174598.88-17825.06+86962</f>
        <v>162670.21999999997</v>
      </c>
      <c r="D27" s="88">
        <f>70076.42</f>
        <v>70076.42</v>
      </c>
    </row>
    <row r="28" spans="2:4">
      <c r="B28" s="87" t="s">
        <v>241</v>
      </c>
      <c r="C28" s="88">
        <v>0</v>
      </c>
      <c r="D28" s="88">
        <v>0</v>
      </c>
    </row>
    <row r="30" spans="2:4">
      <c r="B30" s="95" t="s">
        <v>242</v>
      </c>
    </row>
    <row r="32" spans="2:4" ht="30">
      <c r="B32" s="86" t="s">
        <v>112</v>
      </c>
      <c r="C32" s="84" t="s">
        <v>157</v>
      </c>
      <c r="D32" s="84" t="s">
        <v>226</v>
      </c>
    </row>
    <row r="33" spans="2:4">
      <c r="B33" s="247" t="s">
        <v>243</v>
      </c>
      <c r="C33" s="98">
        <f>SUM(C35:C39)</f>
        <v>2635277.62</v>
      </c>
      <c r="D33" s="98">
        <f>SUM(D35:D39)</f>
        <v>2805639.4899999998</v>
      </c>
    </row>
    <row r="34" spans="2:4">
      <c r="B34" s="96" t="s">
        <v>189</v>
      </c>
      <c r="C34" s="101"/>
      <c r="D34" s="101"/>
    </row>
    <row r="35" spans="2:4" ht="30">
      <c r="B35" s="87" t="s">
        <v>244</v>
      </c>
      <c r="C35" s="88">
        <f>822143.62+1107833.25+93644.74</f>
        <v>2023621.61</v>
      </c>
      <c r="D35" s="88">
        <f>25021.8+639257.74+1855518.17</f>
        <v>2519797.71</v>
      </c>
    </row>
    <row r="36" spans="2:4" ht="30">
      <c r="B36" s="87" t="s">
        <v>245</v>
      </c>
      <c r="C36" s="88">
        <f>0+550075.21</f>
        <v>550075.21</v>
      </c>
      <c r="D36" s="88">
        <v>250000</v>
      </c>
    </row>
    <row r="37" spans="2:4">
      <c r="B37" s="87" t="s">
        <v>246</v>
      </c>
      <c r="C37" s="88">
        <f>1264.88+21430.76+17690.04+21195.12</f>
        <v>61580.800000000003</v>
      </c>
      <c r="D37" s="88">
        <f>10445.99+25395.79</f>
        <v>35841.78</v>
      </c>
    </row>
    <row r="38" spans="2:4">
      <c r="B38" s="87" t="s">
        <v>247</v>
      </c>
      <c r="C38" s="88">
        <v>0</v>
      </c>
      <c r="D38" s="88">
        <v>0</v>
      </c>
    </row>
    <row r="39" spans="2:4">
      <c r="B39" s="74" t="s">
        <v>248</v>
      </c>
      <c r="C39" s="88">
        <v>0</v>
      </c>
      <c r="D39" s="88">
        <v>0</v>
      </c>
    </row>
  </sheetData>
  <mergeCells count="2">
    <mergeCell ref="B1:D1"/>
    <mergeCell ref="B3:D3"/>
  </mergeCells>
  <pageMargins left="0.7" right="0.7" top="0.75" bottom="0.75" header="0.3" footer="0.3"/>
  <pageSetup paperSize="9" scale="9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F54"/>
  <sheetViews>
    <sheetView view="pageBreakPreview" topLeftCell="A40" zoomScale="80" zoomScaleNormal="100" zoomScaleSheetLayoutView="80" workbookViewId="0">
      <selection activeCell="D19" sqref="D19"/>
    </sheetView>
  </sheetViews>
  <sheetFormatPr defaultRowHeight="15"/>
  <cols>
    <col min="1" max="1" width="4.28515625" customWidth="1"/>
    <col min="2" max="2" width="36.28515625" customWidth="1"/>
    <col min="3" max="3" width="18" customWidth="1"/>
    <col min="4" max="4" width="16.140625" customWidth="1"/>
    <col min="5" max="5" width="20.5703125" customWidth="1"/>
    <col min="6" max="6" width="18.42578125" customWidth="1"/>
  </cols>
  <sheetData>
    <row r="1" spans="2:6" ht="15.75">
      <c r="B1" s="291" t="s">
        <v>0</v>
      </c>
      <c r="C1" s="291"/>
      <c r="D1" s="291"/>
      <c r="E1" s="291"/>
      <c r="F1" s="291"/>
    </row>
    <row r="2" spans="2:6" ht="15.75">
      <c r="B2" s="246"/>
      <c r="C2" s="246"/>
      <c r="D2" s="246"/>
      <c r="E2" s="246"/>
      <c r="F2" s="246"/>
    </row>
    <row r="3" spans="2:6" ht="15.75">
      <c r="B3" s="255" t="s">
        <v>151</v>
      </c>
      <c r="C3" s="255"/>
      <c r="D3" s="255"/>
      <c r="E3" s="255"/>
      <c r="F3" s="255"/>
    </row>
    <row r="5" spans="2:6">
      <c r="B5" s="10" t="s">
        <v>249</v>
      </c>
      <c r="C5" s="10"/>
      <c r="D5" s="10"/>
    </row>
    <row r="7" spans="2:6" ht="45.6" customHeight="1">
      <c r="B7" s="86" t="s">
        <v>112</v>
      </c>
      <c r="C7" s="84" t="s">
        <v>157</v>
      </c>
      <c r="D7" s="84" t="s">
        <v>226</v>
      </c>
    </row>
    <row r="8" spans="2:6" ht="24.6" customHeight="1">
      <c r="B8" s="248" t="s">
        <v>250</v>
      </c>
      <c r="C8" s="92">
        <f>C9+C13</f>
        <v>1193800.1099999999</v>
      </c>
      <c r="D8" s="92">
        <f>D9+D13</f>
        <v>1080708</v>
      </c>
    </row>
    <row r="9" spans="2:6">
      <c r="B9" s="99" t="s">
        <v>103</v>
      </c>
      <c r="C9" s="98">
        <f>SUM(C11:C12)</f>
        <v>0</v>
      </c>
      <c r="D9" s="98">
        <f>SUM(D11:D12)</f>
        <v>0</v>
      </c>
    </row>
    <row r="10" spans="2:6">
      <c r="B10" s="100" t="s">
        <v>189</v>
      </c>
      <c r="C10" s="101"/>
      <c r="D10" s="101"/>
    </row>
    <row r="11" spans="2:6">
      <c r="B11" s="85" t="s">
        <v>251</v>
      </c>
      <c r="C11" s="88">
        <v>0</v>
      </c>
      <c r="D11" s="135">
        <v>0</v>
      </c>
    </row>
    <row r="12" spans="2:6">
      <c r="B12" s="85" t="s">
        <v>206</v>
      </c>
      <c r="C12" s="88">
        <v>0</v>
      </c>
      <c r="D12" s="135">
        <v>0</v>
      </c>
    </row>
    <row r="13" spans="2:6">
      <c r="B13" s="247" t="s">
        <v>104</v>
      </c>
      <c r="C13" s="98">
        <f>SUM(C15:C23)</f>
        <v>1193800.1099999999</v>
      </c>
      <c r="D13" s="98">
        <f>SUM(D15:D23)</f>
        <v>1080708</v>
      </c>
    </row>
    <row r="14" spans="2:6">
      <c r="B14" s="100" t="s">
        <v>189</v>
      </c>
      <c r="C14" s="101"/>
      <c r="D14" s="101"/>
    </row>
    <row r="15" spans="2:6">
      <c r="B15" s="87" t="s">
        <v>235</v>
      </c>
      <c r="C15" s="88">
        <f>377354.67+186412.86+24232.06+120103.69-211721.55</f>
        <v>496381.73000000004</v>
      </c>
      <c r="D15" s="88">
        <f>141787.86+8833.46+440205.49-56342.2-49</f>
        <v>534435.61</v>
      </c>
    </row>
    <row r="16" spans="2:6" ht="30">
      <c r="B16" s="87" t="s">
        <v>252</v>
      </c>
      <c r="C16" s="88"/>
      <c r="D16" s="88">
        <v>0</v>
      </c>
    </row>
    <row r="17" spans="2:6">
      <c r="B17" s="87" t="s">
        <v>253</v>
      </c>
      <c r="C17" s="88">
        <v>1715</v>
      </c>
      <c r="D17" s="88">
        <v>1747.81</v>
      </c>
    </row>
    <row r="18" spans="2:6" ht="45">
      <c r="B18" s="87" t="s">
        <v>254</v>
      </c>
      <c r="C18" s="88">
        <f>563206.33+27522.72</f>
        <v>590729.04999999993</v>
      </c>
      <c r="D18" s="88">
        <f>15539.29+463746.73-10227.3-24450</f>
        <v>444608.72</v>
      </c>
    </row>
    <row r="19" spans="2:6">
      <c r="B19" s="87" t="s">
        <v>255</v>
      </c>
      <c r="C19" s="88">
        <v>17822.43</v>
      </c>
      <c r="D19" s="88">
        <f>12245.06</f>
        <v>12245.06</v>
      </c>
    </row>
    <row r="20" spans="2:6" ht="30">
      <c r="B20" s="87" t="s">
        <v>256</v>
      </c>
      <c r="C20" s="88"/>
      <c r="D20" s="88">
        <v>0</v>
      </c>
    </row>
    <row r="21" spans="2:6">
      <c r="B21" s="87" t="s">
        <v>257</v>
      </c>
      <c r="C21" s="88">
        <f>675161.5+620.54-675782.04</f>
        <v>0</v>
      </c>
      <c r="D21" s="88">
        <f>1.9+434558.66-434560.56</f>
        <v>0</v>
      </c>
    </row>
    <row r="22" spans="2:6">
      <c r="B22" s="87" t="s">
        <v>258</v>
      </c>
      <c r="C22" s="88">
        <f>87029.5+122.4</f>
        <v>87151.9</v>
      </c>
      <c r="D22" s="88">
        <f>122.4+87548.4</f>
        <v>87670.799999999988</v>
      </c>
    </row>
    <row r="23" spans="2:6">
      <c r="B23" s="87" t="s">
        <v>259</v>
      </c>
      <c r="C23" s="88">
        <v>0</v>
      </c>
      <c r="D23" s="88">
        <v>0</v>
      </c>
    </row>
    <row r="25" spans="2:6" ht="30">
      <c r="B25" s="95" t="s">
        <v>260</v>
      </c>
    </row>
    <row r="26" spans="2:6">
      <c r="B26" s="95"/>
    </row>
    <row r="27" spans="2:6">
      <c r="B27" s="292" t="s">
        <v>112</v>
      </c>
      <c r="C27" s="298" t="s">
        <v>261</v>
      </c>
      <c r="D27" s="299"/>
      <c r="E27" s="298" t="s">
        <v>262</v>
      </c>
      <c r="F27" s="299"/>
    </row>
    <row r="28" spans="2:6" ht="45">
      <c r="B28" s="293"/>
      <c r="C28" s="84" t="s">
        <v>157</v>
      </c>
      <c r="D28" s="84" t="s">
        <v>226</v>
      </c>
      <c r="E28" s="84" t="s">
        <v>157</v>
      </c>
      <c r="F28" s="84" t="s">
        <v>226</v>
      </c>
    </row>
    <row r="29" spans="2:6" ht="30">
      <c r="B29" s="247" t="s">
        <v>263</v>
      </c>
      <c r="C29" s="98">
        <f>C31+C38</f>
        <v>0</v>
      </c>
      <c r="D29" s="98">
        <f>D31+D38</f>
        <v>56516</v>
      </c>
      <c r="E29" s="98">
        <f t="shared" ref="E29:F29" si="0">E31+E38</f>
        <v>0</v>
      </c>
      <c r="F29" s="98">
        <f t="shared" si="0"/>
        <v>0</v>
      </c>
    </row>
    <row r="30" spans="2:6">
      <c r="B30" s="100" t="s">
        <v>189</v>
      </c>
      <c r="C30" s="101"/>
      <c r="D30" s="101"/>
      <c r="E30" s="114"/>
      <c r="F30" s="114"/>
    </row>
    <row r="31" spans="2:6">
      <c r="B31" s="247" t="s">
        <v>264</v>
      </c>
      <c r="C31" s="98">
        <f>SUM(C33:C37)</f>
        <v>0</v>
      </c>
      <c r="D31" s="98">
        <f t="shared" ref="D31:F31" si="1">SUM(D33:D37)</f>
        <v>56516</v>
      </c>
      <c r="E31" s="98">
        <f t="shared" si="1"/>
        <v>0</v>
      </c>
      <c r="F31" s="98">
        <f t="shared" si="1"/>
        <v>0</v>
      </c>
    </row>
    <row r="32" spans="2:6">
      <c r="B32" s="96" t="s">
        <v>265</v>
      </c>
      <c r="C32" s="101"/>
      <c r="D32" s="101"/>
      <c r="E32" s="114"/>
      <c r="F32" s="114"/>
    </row>
    <row r="33" spans="2:6">
      <c r="B33" s="87" t="s">
        <v>266</v>
      </c>
      <c r="C33" s="88"/>
      <c r="D33" s="88"/>
      <c r="E33" s="74"/>
      <c r="F33" s="74"/>
    </row>
    <row r="34" spans="2:6">
      <c r="B34" s="87" t="s">
        <v>267</v>
      </c>
      <c r="C34" s="88"/>
      <c r="D34" s="88"/>
      <c r="E34" s="74"/>
      <c r="F34" s="74"/>
    </row>
    <row r="35" spans="2:6">
      <c r="B35" s="87" t="s">
        <v>268</v>
      </c>
      <c r="C35" s="88"/>
      <c r="D35" s="88"/>
      <c r="E35" s="74"/>
      <c r="F35" s="74"/>
    </row>
    <row r="36" spans="2:6">
      <c r="B36" s="87" t="s">
        <v>269</v>
      </c>
      <c r="C36" s="88"/>
      <c r="D36" s="88"/>
      <c r="E36" s="74"/>
      <c r="F36" s="74"/>
    </row>
    <row r="37" spans="2:6">
      <c r="B37" s="87" t="s">
        <v>270</v>
      </c>
      <c r="C37" s="88">
        <v>0</v>
      </c>
      <c r="D37" s="88">
        <v>56516</v>
      </c>
      <c r="E37" s="74">
        <v>0</v>
      </c>
      <c r="F37" s="74">
        <v>0</v>
      </c>
    </row>
    <row r="38" spans="2:6">
      <c r="B38" s="247" t="s">
        <v>271</v>
      </c>
      <c r="C38" s="98">
        <f>SUM(C40:C41)</f>
        <v>0</v>
      </c>
      <c r="D38" s="98">
        <f t="shared" ref="D38:F38" si="2">SUM(D40:D41)</f>
        <v>0</v>
      </c>
      <c r="E38" s="98">
        <f t="shared" si="2"/>
        <v>0</v>
      </c>
      <c r="F38" s="98">
        <f t="shared" si="2"/>
        <v>0</v>
      </c>
    </row>
    <row r="39" spans="2:6">
      <c r="B39" s="96" t="s">
        <v>265</v>
      </c>
      <c r="C39" s="97"/>
      <c r="D39" s="97"/>
      <c r="E39" s="114"/>
      <c r="F39" s="114"/>
    </row>
    <row r="40" spans="2:6">
      <c r="B40" s="85"/>
      <c r="C40" s="88"/>
      <c r="D40" s="88"/>
      <c r="E40" s="74"/>
      <c r="F40" s="74"/>
    </row>
    <row r="41" spans="2:6">
      <c r="B41" s="87"/>
      <c r="C41" s="88"/>
      <c r="D41" s="88"/>
      <c r="E41" s="74"/>
      <c r="F41" s="74"/>
    </row>
    <row r="43" spans="2:6">
      <c r="B43" s="10" t="s">
        <v>272</v>
      </c>
    </row>
    <row r="45" spans="2:6">
      <c r="B45" s="292" t="s">
        <v>112</v>
      </c>
      <c r="C45" s="298" t="s">
        <v>261</v>
      </c>
      <c r="D45" s="299"/>
      <c r="E45" s="298" t="s">
        <v>262</v>
      </c>
      <c r="F45" s="299"/>
    </row>
    <row r="46" spans="2:6" s="214" customFormat="1" ht="29.25" customHeight="1">
      <c r="B46" s="293"/>
      <c r="C46" s="213" t="s">
        <v>157</v>
      </c>
      <c r="D46" s="213" t="s">
        <v>226</v>
      </c>
      <c r="E46" s="213" t="s">
        <v>157</v>
      </c>
      <c r="F46" s="213" t="s">
        <v>226</v>
      </c>
    </row>
    <row r="47" spans="2:6" ht="25.5">
      <c r="B47" s="215" t="s">
        <v>273</v>
      </c>
      <c r="C47" s="98">
        <f>SUM(C49:C54)</f>
        <v>662391.41999999993</v>
      </c>
      <c r="D47" s="98">
        <f>SUM(D49:D54)</f>
        <v>989432.49</v>
      </c>
      <c r="E47" s="98">
        <f t="shared" ref="E47:F47" si="3">SUM(E49:E54)</f>
        <v>4786567.34</v>
      </c>
      <c r="F47" s="98">
        <f t="shared" si="3"/>
        <v>4523396.26</v>
      </c>
    </row>
    <row r="48" spans="2:6">
      <c r="B48" s="100" t="s">
        <v>189</v>
      </c>
      <c r="C48" s="101"/>
      <c r="D48" s="101"/>
      <c r="E48" s="216"/>
      <c r="F48" s="216"/>
    </row>
    <row r="49" spans="2:6" ht="38.25">
      <c r="B49" s="210" t="s">
        <v>274</v>
      </c>
      <c r="C49" s="115"/>
      <c r="D49" s="115">
        <v>25426.23</v>
      </c>
      <c r="E49" s="223">
        <v>15410.02</v>
      </c>
      <c r="F49" s="223">
        <v>296590.93</v>
      </c>
    </row>
    <row r="50" spans="2:6" ht="38.25">
      <c r="B50" s="211" t="s">
        <v>275</v>
      </c>
      <c r="C50" s="116">
        <v>153689.94</v>
      </c>
      <c r="D50" s="116">
        <f>89589.45+151665.93</f>
        <v>241255.38</v>
      </c>
      <c r="E50" s="224">
        <f>2165273.43+2273490.38</f>
        <v>4438763.8100000005</v>
      </c>
      <c r="F50" s="217">
        <f>2006097.9+2137848.46</f>
        <v>4143946.36</v>
      </c>
    </row>
    <row r="51" spans="2:6" ht="16.5" customHeight="1">
      <c r="B51" s="212" t="s">
        <v>276</v>
      </c>
      <c r="C51" s="116"/>
      <c r="D51" s="116"/>
      <c r="E51" s="217"/>
      <c r="F51" s="217"/>
    </row>
    <row r="52" spans="2:6" ht="26.25" customHeight="1">
      <c r="B52" s="212" t="s">
        <v>277</v>
      </c>
      <c r="C52" s="116"/>
      <c r="D52" s="116"/>
      <c r="E52" s="217"/>
      <c r="F52" s="217"/>
    </row>
    <row r="53" spans="2:6" ht="16.5" customHeight="1">
      <c r="B53" s="212" t="s">
        <v>278</v>
      </c>
      <c r="C53" s="116"/>
      <c r="D53" s="116"/>
      <c r="E53" s="217"/>
      <c r="F53" s="217"/>
    </row>
    <row r="54" spans="2:6" ht="15" customHeight="1">
      <c r="B54" s="211" t="s">
        <v>279</v>
      </c>
      <c r="C54" s="217">
        <v>508701.48</v>
      </c>
      <c r="D54" s="217">
        <v>722750.88</v>
      </c>
      <c r="E54" s="217">
        <v>332393.51</v>
      </c>
      <c r="F54" s="217">
        <f>81825.27+1033.7</f>
        <v>82858.97</v>
      </c>
    </row>
  </sheetData>
  <mergeCells count="8">
    <mergeCell ref="B45:B46"/>
    <mergeCell ref="C45:D45"/>
    <mergeCell ref="E45:F45"/>
    <mergeCell ref="B3:F3"/>
    <mergeCell ref="B1:F1"/>
    <mergeCell ref="C27:D27"/>
    <mergeCell ref="E27:F27"/>
    <mergeCell ref="B27:B28"/>
  </mergeCells>
  <pageMargins left="0.7" right="0.7" top="0.75" bottom="0.75" header="0.3" footer="0.3"/>
  <pageSetup paperSize="9" scale="7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54"/>
  <sheetViews>
    <sheetView view="pageBreakPreview" topLeftCell="A37" zoomScaleNormal="100" zoomScaleSheetLayoutView="100" workbookViewId="0">
      <selection activeCell="L28" sqref="L28"/>
    </sheetView>
  </sheetViews>
  <sheetFormatPr defaultRowHeight="15"/>
  <cols>
    <col min="1" max="1" width="3.85546875" customWidth="1"/>
    <col min="2" max="8" width="8.85546875" hidden="1" customWidth="1"/>
    <col min="9" max="9" width="34.5703125" customWidth="1"/>
    <col min="10" max="11" width="19.85546875" customWidth="1"/>
    <col min="12" max="12" width="21.140625" customWidth="1"/>
    <col min="13" max="13" width="19.7109375" customWidth="1"/>
    <col min="14" max="14" width="12.28515625" bestFit="1" customWidth="1"/>
  </cols>
  <sheetData>
    <row r="1" spans="1:19" ht="18.75">
      <c r="I1" s="291" t="s">
        <v>0</v>
      </c>
      <c r="J1" s="291"/>
      <c r="K1" s="291"/>
      <c r="L1" s="291"/>
      <c r="M1" s="291"/>
      <c r="N1" s="118"/>
      <c r="O1" s="118"/>
      <c r="P1" s="6"/>
      <c r="Q1" s="6"/>
      <c r="R1" s="6"/>
      <c r="S1" s="6"/>
    </row>
    <row r="3" spans="1:19" ht="18" customHeight="1">
      <c r="I3" s="255" t="s">
        <v>151</v>
      </c>
      <c r="J3" s="255"/>
      <c r="K3" s="255"/>
      <c r="L3" s="255"/>
      <c r="M3" s="255"/>
    </row>
    <row r="4" spans="1:19" ht="12" customHeight="1"/>
    <row r="5" spans="1:19" ht="57" customHeight="1">
      <c r="A5" s="245" t="s">
        <v>280</v>
      </c>
      <c r="I5" s="300" t="s">
        <v>281</v>
      </c>
      <c r="J5" s="300"/>
      <c r="K5" s="300"/>
      <c r="L5" s="300"/>
      <c r="M5" s="300"/>
      <c r="N5" s="120"/>
      <c r="O5" s="120"/>
      <c r="P5" s="120"/>
    </row>
    <row r="6" spans="1:19" ht="0.75" customHeight="1"/>
    <row r="7" spans="1:19" ht="15.75">
      <c r="I7" s="4"/>
      <c r="J7" s="4"/>
      <c r="K7" s="4"/>
      <c r="L7" s="4"/>
    </row>
    <row r="8" spans="1:19" ht="15.75">
      <c r="I8" s="2" t="s">
        <v>282</v>
      </c>
      <c r="J8" s="113"/>
      <c r="K8" s="113"/>
      <c r="L8" s="113"/>
    </row>
    <row r="11" spans="1:19" ht="22.9" customHeight="1">
      <c r="I11" s="301" t="s">
        <v>112</v>
      </c>
      <c r="J11" s="301" t="s">
        <v>283</v>
      </c>
      <c r="K11" s="301"/>
      <c r="L11" s="301" t="s">
        <v>284</v>
      </c>
      <c r="M11" s="301"/>
    </row>
    <row r="12" spans="1:19">
      <c r="I12" s="301"/>
      <c r="J12" s="249" t="s">
        <v>285</v>
      </c>
      <c r="K12" s="249" t="s">
        <v>286</v>
      </c>
      <c r="L12" s="249" t="s">
        <v>285</v>
      </c>
      <c r="M12" s="249" t="s">
        <v>286</v>
      </c>
    </row>
    <row r="13" spans="1:19" ht="25.15" customHeight="1">
      <c r="I13" s="138" t="s">
        <v>287</v>
      </c>
      <c r="J13" s="139">
        <f>J15+J19+J22+J23+J28</f>
        <v>13135619.32</v>
      </c>
      <c r="K13" s="140">
        <f>J13*100/$J$13</f>
        <v>100</v>
      </c>
      <c r="L13" s="139">
        <f>L15+L19+L22+L23+L28</f>
        <v>14149326.52</v>
      </c>
      <c r="M13" s="141">
        <f>L13*100/$L$13</f>
        <v>100</v>
      </c>
    </row>
    <row r="14" spans="1:19" ht="18" customHeight="1">
      <c r="I14" s="142" t="s">
        <v>189</v>
      </c>
      <c r="J14" s="143"/>
      <c r="K14" s="144"/>
      <c r="L14" s="143"/>
      <c r="M14" s="145"/>
    </row>
    <row r="15" spans="1:19" ht="35.25" customHeight="1">
      <c r="I15" s="117" t="s">
        <v>288</v>
      </c>
      <c r="J15" s="122">
        <f>SUM(J16:J18)</f>
        <v>3452749.59</v>
      </c>
      <c r="K15" s="123">
        <f t="shared" ref="K15:K32" si="0">J15*100/$J$13</f>
        <v>26.285396264056775</v>
      </c>
      <c r="L15" s="122">
        <f>SUM(L16:L18)</f>
        <v>3177048.9299999997</v>
      </c>
      <c r="M15" s="136">
        <f t="shared" ref="M15:M32" si="1">L15*100/$L$13</f>
        <v>22.453711316289564</v>
      </c>
    </row>
    <row r="16" spans="1:19" ht="35.25" customHeight="1">
      <c r="I16" s="117" t="s">
        <v>289</v>
      </c>
      <c r="J16" s="122">
        <v>853947.58</v>
      </c>
      <c r="K16" s="123">
        <f t="shared" si="0"/>
        <v>6.5010073693274482</v>
      </c>
      <c r="L16" s="122">
        <v>910687.76</v>
      </c>
      <c r="M16" s="136">
        <f t="shared" si="1"/>
        <v>6.4362622398511169</v>
      </c>
    </row>
    <row r="17" spans="9:16" ht="24.95" customHeight="1">
      <c r="I17" s="117" t="s">
        <v>290</v>
      </c>
      <c r="J17" s="122">
        <f>1162617.45+625562</f>
        <v>1788179.45</v>
      </c>
      <c r="K17" s="123">
        <f t="shared" si="0"/>
        <v>13.613210054567872</v>
      </c>
      <c r="L17" s="122">
        <f>351086.55+1044565.38</f>
        <v>1395651.93</v>
      </c>
      <c r="M17" s="136">
        <f t="shared" si="1"/>
        <v>9.8637339948813345</v>
      </c>
      <c r="N17" s="8"/>
    </row>
    <row r="18" spans="9:16" ht="24.95" customHeight="1">
      <c r="I18" s="117" t="s">
        <v>291</v>
      </c>
      <c r="J18" s="122">
        <v>810622.56</v>
      </c>
      <c r="K18" s="123">
        <f t="shared" si="0"/>
        <v>6.1711788401614545</v>
      </c>
      <c r="L18" s="122">
        <f>878691.25-7982.01</f>
        <v>870709.24</v>
      </c>
      <c r="M18" s="136">
        <f t="shared" si="1"/>
        <v>6.1537150815571113</v>
      </c>
      <c r="P18" s="11"/>
    </row>
    <row r="19" spans="9:16" ht="32.25" customHeight="1">
      <c r="I19" s="127" t="s">
        <v>292</v>
      </c>
      <c r="J19" s="122">
        <f>J20+J21</f>
        <v>9365398.5</v>
      </c>
      <c r="K19" s="123">
        <f t="shared" si="0"/>
        <v>71.297730787161697</v>
      </c>
      <c r="L19" s="122">
        <f>SUM(L20:L21)</f>
        <v>10521965.26</v>
      </c>
      <c r="M19" s="136">
        <f t="shared" si="1"/>
        <v>74.363717913550559</v>
      </c>
    </row>
    <row r="20" spans="9:16" ht="24.95" customHeight="1">
      <c r="I20" s="117" t="s">
        <v>293</v>
      </c>
      <c r="J20" s="122">
        <v>1091072.3999999999</v>
      </c>
      <c r="K20" s="123">
        <f t="shared" si="0"/>
        <v>8.3062120895872606</v>
      </c>
      <c r="L20" s="122">
        <f>0+1194255.77</f>
        <v>1194255.77</v>
      </c>
      <c r="M20" s="136">
        <f t="shared" si="1"/>
        <v>8.4403718319167034</v>
      </c>
    </row>
    <row r="21" spans="9:16" ht="24.95" customHeight="1">
      <c r="I21" s="117" t="s">
        <v>294</v>
      </c>
      <c r="J21" s="122">
        <f>7303507.55+970818.55</f>
        <v>8274326.0999999996</v>
      </c>
      <c r="K21" s="123">
        <f t="shared" si="0"/>
        <v>62.991518697574435</v>
      </c>
      <c r="L21" s="122">
        <f>1037269.45+8307505.04-17065</f>
        <v>9327709.4900000002</v>
      </c>
      <c r="M21" s="136">
        <f t="shared" si="1"/>
        <v>65.923346081633852</v>
      </c>
    </row>
    <row r="22" spans="9:16" ht="29.25" customHeight="1">
      <c r="I22" s="117" t="s">
        <v>295</v>
      </c>
      <c r="J22" s="122">
        <v>0</v>
      </c>
      <c r="K22" s="123">
        <f t="shared" si="0"/>
        <v>0</v>
      </c>
      <c r="L22" s="122">
        <v>0</v>
      </c>
      <c r="M22" s="136">
        <f t="shared" si="1"/>
        <v>0</v>
      </c>
    </row>
    <row r="23" spans="9:16" ht="30" customHeight="1">
      <c r="I23" s="117" t="s">
        <v>296</v>
      </c>
      <c r="J23" s="122">
        <f>SUM(J24:J27)</f>
        <v>314192.32</v>
      </c>
      <c r="K23" s="123">
        <f t="shared" si="0"/>
        <v>2.3919109738633928</v>
      </c>
      <c r="L23" s="221">
        <f>SUM(L24:L27)</f>
        <v>444137.16000000003</v>
      </c>
      <c r="M23" s="136">
        <f t="shared" si="1"/>
        <v>3.1389279155598993</v>
      </c>
    </row>
    <row r="24" spans="9:16" ht="49.9" customHeight="1">
      <c r="I24" s="117" t="s">
        <v>297</v>
      </c>
      <c r="J24" s="122">
        <f>0+153689.94</f>
        <v>153689.94</v>
      </c>
      <c r="K24" s="123">
        <f t="shared" si="0"/>
        <v>1.1700243152296226</v>
      </c>
      <c r="L24" s="122">
        <f>151665.93+92743.45</f>
        <v>244409.38</v>
      </c>
      <c r="M24" s="136">
        <f t="shared" si="1"/>
        <v>1.7273569851860342</v>
      </c>
    </row>
    <row r="25" spans="9:16" ht="30" customHeight="1">
      <c r="I25" s="117" t="s">
        <v>298</v>
      </c>
      <c r="J25" s="122"/>
      <c r="K25" s="123">
        <f t="shared" si="0"/>
        <v>0</v>
      </c>
      <c r="L25" s="122">
        <f>66260.16</f>
        <v>66260.160000000003</v>
      </c>
      <c r="M25" s="136">
        <f t="shared" si="1"/>
        <v>0.46829197069091316</v>
      </c>
    </row>
    <row r="26" spans="9:16" ht="34.15" customHeight="1">
      <c r="I26" s="117" t="s">
        <v>299</v>
      </c>
      <c r="J26" s="122">
        <v>0</v>
      </c>
      <c r="K26" s="123">
        <f t="shared" si="0"/>
        <v>0</v>
      </c>
      <c r="L26" s="122">
        <v>0</v>
      </c>
      <c r="M26" s="136">
        <f t="shared" si="1"/>
        <v>0</v>
      </c>
    </row>
    <row r="27" spans="9:16" ht="24.95" customHeight="1">
      <c r="I27" s="117" t="s">
        <v>300</v>
      </c>
      <c r="J27" s="122">
        <f>158015.78+2486.6</f>
        <v>160502.38</v>
      </c>
      <c r="K27" s="123">
        <f t="shared" si="0"/>
        <v>1.2218866586337704</v>
      </c>
      <c r="L27" s="122">
        <f>121404.62+1835.7+10227.3</f>
        <v>133467.62</v>
      </c>
      <c r="M27" s="136">
        <f t="shared" si="1"/>
        <v>0.94327895968295183</v>
      </c>
    </row>
    <row r="28" spans="9:16" ht="31.15" customHeight="1">
      <c r="I28" s="133" t="s">
        <v>301</v>
      </c>
      <c r="J28" s="134">
        <f>SUM(J29:J32)</f>
        <v>3278.91</v>
      </c>
      <c r="K28" s="123">
        <f t="shared" si="0"/>
        <v>2.4961974918134275E-2</v>
      </c>
      <c r="L28" s="134">
        <f>SUM(L29:L32)</f>
        <v>6175.17</v>
      </c>
      <c r="M28" s="136">
        <f t="shared" si="1"/>
        <v>4.3642854599979929E-2</v>
      </c>
    </row>
    <row r="29" spans="9:16" ht="26.45" customHeight="1">
      <c r="I29" s="85" t="s">
        <v>302</v>
      </c>
      <c r="J29" s="135">
        <v>3160.99</v>
      </c>
      <c r="K29" s="123">
        <f t="shared" si="0"/>
        <v>2.4064263153448329E-2</v>
      </c>
      <c r="L29" s="135">
        <f>3082.29</f>
        <v>3082.29</v>
      </c>
      <c r="M29" s="136">
        <f t="shared" si="1"/>
        <v>2.1784005024148668E-2</v>
      </c>
    </row>
    <row r="30" spans="9:16" ht="24.95" customHeight="1">
      <c r="I30" s="85" t="s">
        <v>303</v>
      </c>
      <c r="J30" s="135"/>
      <c r="K30" s="123">
        <f t="shared" si="0"/>
        <v>0</v>
      </c>
      <c r="L30" s="135">
        <v>0.69</v>
      </c>
      <c r="M30" s="136">
        <f t="shared" si="1"/>
        <v>4.876557191783571E-6</v>
      </c>
    </row>
    <row r="31" spans="9:16" ht="33.6" customHeight="1">
      <c r="I31" s="85" t="s">
        <v>304</v>
      </c>
      <c r="J31" s="135"/>
      <c r="K31" s="123">
        <f t="shared" si="0"/>
        <v>0</v>
      </c>
      <c r="L31" s="135"/>
      <c r="M31" s="136">
        <f t="shared" si="1"/>
        <v>0</v>
      </c>
    </row>
    <row r="32" spans="9:16" ht="24.95" customHeight="1">
      <c r="I32" s="85" t="s">
        <v>300</v>
      </c>
      <c r="J32" s="135">
        <v>117.92</v>
      </c>
      <c r="K32" s="123">
        <f t="shared" si="0"/>
        <v>8.9771176468594557E-4</v>
      </c>
      <c r="L32" s="135">
        <f>3092.19</f>
        <v>3092.19</v>
      </c>
      <c r="M32" s="136">
        <f t="shared" si="1"/>
        <v>2.1853973018639478E-2</v>
      </c>
    </row>
    <row r="33" spans="9:13" ht="12" customHeight="1">
      <c r="I33" s="12"/>
      <c r="J33" s="131"/>
      <c r="K33" s="132"/>
      <c r="L33" s="131"/>
      <c r="M33" s="137"/>
    </row>
    <row r="34" spans="9:13" ht="12" customHeight="1">
      <c r="I34" s="12"/>
      <c r="J34" s="131"/>
      <c r="K34" s="132"/>
      <c r="L34" s="131"/>
      <c r="M34" s="137"/>
    </row>
    <row r="35" spans="9:13" ht="16.149999999999999" customHeight="1">
      <c r="I35" s="2" t="s">
        <v>305</v>
      </c>
      <c r="J35" s="113"/>
      <c r="K35" s="132"/>
      <c r="L35" s="131"/>
      <c r="M35" s="137"/>
    </row>
    <row r="36" spans="9:13" ht="12" customHeight="1">
      <c r="I36" s="12"/>
      <c r="J36" s="131"/>
      <c r="K36" s="132"/>
      <c r="L36" s="131"/>
      <c r="M36" s="137"/>
    </row>
    <row r="37" spans="9:13" ht="19.149999999999999" customHeight="1">
      <c r="I37" s="301" t="s">
        <v>112</v>
      </c>
      <c r="J37" s="301" t="s">
        <v>283</v>
      </c>
      <c r="K37" s="301"/>
      <c r="L37" s="301" t="s">
        <v>284</v>
      </c>
      <c r="M37" s="301"/>
    </row>
    <row r="38" spans="9:13" ht="18.600000000000001" customHeight="1">
      <c r="I38" s="301"/>
      <c r="J38" s="249" t="s">
        <v>285</v>
      </c>
      <c r="K38" s="249" t="s">
        <v>286</v>
      </c>
      <c r="L38" s="249" t="s">
        <v>285</v>
      </c>
      <c r="M38" s="249" t="s">
        <v>286</v>
      </c>
    </row>
    <row r="39" spans="9:13" ht="19.899999999999999" customHeight="1">
      <c r="I39" s="138" t="s">
        <v>287</v>
      </c>
      <c r="J39" s="139">
        <f>J41+J46+J50</f>
        <v>2662318.4300000002</v>
      </c>
      <c r="K39" s="140">
        <f>J39*100/$J$39</f>
        <v>100</v>
      </c>
      <c r="L39" s="139">
        <f>L41+L46+L50</f>
        <v>2851868.0999999996</v>
      </c>
      <c r="M39" s="141">
        <f>L39*100/$L$39</f>
        <v>99.999999999999986</v>
      </c>
    </row>
    <row r="40" spans="9:13" ht="12.6" customHeight="1">
      <c r="I40" s="142" t="s">
        <v>189</v>
      </c>
      <c r="J40" s="143"/>
      <c r="K40" s="144"/>
      <c r="L40" s="143"/>
      <c r="M40" s="145"/>
    </row>
    <row r="41" spans="9:13" ht="19.899999999999999" customHeight="1">
      <c r="I41" s="117" t="s">
        <v>306</v>
      </c>
      <c r="J41" s="122">
        <f>SUM(J42:J45)</f>
        <v>2650050.8400000003</v>
      </c>
      <c r="K41" s="123">
        <f>J41*100/$J$39</f>
        <v>99.539214022569041</v>
      </c>
      <c r="L41" s="122">
        <f>SUM(L42:L45)</f>
        <v>2833278.3499999996</v>
      </c>
      <c r="M41" s="136">
        <f>L41*100/$L$39</f>
        <v>99.348155337198094</v>
      </c>
    </row>
    <row r="42" spans="9:13" ht="19.899999999999999" customHeight="1">
      <c r="I42" s="117" t="s">
        <v>307</v>
      </c>
      <c r="J42" s="122">
        <v>0</v>
      </c>
      <c r="K42" s="123">
        <f t="shared" ref="K42:K53" si="2">J42*100/$J$39</f>
        <v>0</v>
      </c>
      <c r="L42" s="122">
        <v>0</v>
      </c>
      <c r="M42" s="136">
        <f t="shared" ref="M42:M53" si="3">L42*100/$L$39</f>
        <v>0</v>
      </c>
    </row>
    <row r="43" spans="9:13" ht="19.899999999999999" customHeight="1">
      <c r="I43" s="117" t="s">
        <v>308</v>
      </c>
      <c r="J43" s="122">
        <f>1287513.81+1206794.47</f>
        <v>2494308.2800000003</v>
      </c>
      <c r="K43" s="123">
        <f t="shared" si="2"/>
        <v>93.689329266296681</v>
      </c>
      <c r="L43" s="122">
        <f>1305953.45+1350660.97-98775.99</f>
        <v>2557838.4299999997</v>
      </c>
      <c r="M43" s="136">
        <f t="shared" si="3"/>
        <v>89.689927454919811</v>
      </c>
    </row>
    <row r="44" spans="9:13" ht="19.899999999999999" customHeight="1">
      <c r="I44" s="127" t="s">
        <v>309</v>
      </c>
      <c r="J44" s="122">
        <v>155742.56</v>
      </c>
      <c r="K44" s="123">
        <f t="shared" si="2"/>
        <v>5.8498847562723739</v>
      </c>
      <c r="L44" s="122">
        <f>275439.92</f>
        <v>275439.92</v>
      </c>
      <c r="M44" s="136">
        <f t="shared" si="3"/>
        <v>9.6582278822782879</v>
      </c>
    </row>
    <row r="45" spans="9:13" ht="19.899999999999999" customHeight="1">
      <c r="I45" s="117" t="s">
        <v>310</v>
      </c>
      <c r="J45" s="122"/>
      <c r="K45" s="123">
        <f t="shared" si="2"/>
        <v>0</v>
      </c>
      <c r="L45" s="122">
        <v>0</v>
      </c>
      <c r="M45" s="136">
        <f t="shared" si="3"/>
        <v>0</v>
      </c>
    </row>
    <row r="46" spans="9:13" ht="34.9" customHeight="1">
      <c r="I46" s="117" t="s">
        <v>311</v>
      </c>
      <c r="J46" s="122">
        <f>SUM(J47:J49)</f>
        <v>8913.11</v>
      </c>
      <c r="K46" s="123">
        <f t="shared" si="2"/>
        <v>0.33478752577316606</v>
      </c>
      <c r="L46" s="122">
        <f>SUM(L47:L49)</f>
        <v>15424.130000000001</v>
      </c>
      <c r="M46" s="136">
        <f t="shared" si="3"/>
        <v>0.54084303548260182</v>
      </c>
    </row>
    <row r="47" spans="9:13" ht="28.15" customHeight="1">
      <c r="I47" s="117" t="s">
        <v>312</v>
      </c>
      <c r="J47" s="122">
        <f>0+5000</f>
        <v>5000</v>
      </c>
      <c r="K47" s="123">
        <f t="shared" si="2"/>
        <v>0.18780623473353636</v>
      </c>
      <c r="L47" s="122">
        <v>5691.06</v>
      </c>
      <c r="M47" s="136">
        <f t="shared" si="3"/>
        <v>0.1995555124025547</v>
      </c>
    </row>
    <row r="48" spans="9:13" ht="28.9" customHeight="1">
      <c r="I48" s="117" t="s">
        <v>313</v>
      </c>
      <c r="J48" s="122">
        <v>0</v>
      </c>
      <c r="K48" s="123">
        <f t="shared" si="2"/>
        <v>0</v>
      </c>
      <c r="L48" s="122">
        <v>0</v>
      </c>
      <c r="M48" s="136">
        <f t="shared" si="3"/>
        <v>0</v>
      </c>
    </row>
    <row r="49" spans="9:13" ht="19.899999999999999" customHeight="1">
      <c r="I49" s="117" t="s">
        <v>314</v>
      </c>
      <c r="J49" s="122">
        <f>0+3913.11</f>
        <v>3913.11</v>
      </c>
      <c r="K49" s="123">
        <f t="shared" si="2"/>
        <v>0.14698129103962967</v>
      </c>
      <c r="L49" s="122">
        <v>9733.07</v>
      </c>
      <c r="M49" s="136">
        <f t="shared" si="3"/>
        <v>0.34128752308004712</v>
      </c>
    </row>
    <row r="50" spans="9:13" ht="29.45" customHeight="1">
      <c r="I50" s="133" t="s">
        <v>315</v>
      </c>
      <c r="J50" s="134">
        <f>SUM(J51:J53)</f>
        <v>3354.48</v>
      </c>
      <c r="K50" s="123">
        <f t="shared" si="2"/>
        <v>0.12599845165779061</v>
      </c>
      <c r="L50" s="134">
        <f>SUM(L51:L53)</f>
        <v>3165.62</v>
      </c>
      <c r="M50" s="136">
        <f t="shared" si="3"/>
        <v>0.11100162731929995</v>
      </c>
    </row>
    <row r="51" spans="9:13" ht="19.899999999999999" customHeight="1">
      <c r="I51" s="85" t="s">
        <v>302</v>
      </c>
      <c r="J51" s="135">
        <f>0+3354.48</f>
        <v>3354.48</v>
      </c>
      <c r="K51" s="123">
        <f t="shared" si="2"/>
        <v>0.12599845165779061</v>
      </c>
      <c r="L51" s="135">
        <v>3165.62</v>
      </c>
      <c r="M51" s="136">
        <f t="shared" si="3"/>
        <v>0.11100162731929995</v>
      </c>
    </row>
    <row r="52" spans="9:13" ht="19.899999999999999" customHeight="1">
      <c r="I52" s="85" t="s">
        <v>303</v>
      </c>
      <c r="J52" s="135">
        <v>0</v>
      </c>
      <c r="K52" s="123">
        <f t="shared" si="2"/>
        <v>0</v>
      </c>
      <c r="L52" s="135"/>
      <c r="M52" s="136">
        <f t="shared" si="3"/>
        <v>0</v>
      </c>
    </row>
    <row r="53" spans="9:13" ht="27" customHeight="1">
      <c r="I53" s="85" t="s">
        <v>314</v>
      </c>
      <c r="J53" s="135">
        <v>0</v>
      </c>
      <c r="K53" s="123">
        <f t="shared" si="2"/>
        <v>0</v>
      </c>
      <c r="L53" s="135"/>
      <c r="M53" s="136">
        <f t="shared" si="3"/>
        <v>0</v>
      </c>
    </row>
    <row r="54" spans="9:13" ht="12" customHeight="1">
      <c r="I54" s="12"/>
      <c r="J54" s="131"/>
      <c r="K54" s="132"/>
      <c r="L54" s="131"/>
      <c r="M54" s="137"/>
    </row>
  </sheetData>
  <mergeCells count="9">
    <mergeCell ref="I1:M1"/>
    <mergeCell ref="I5:M5"/>
    <mergeCell ref="I3:M3"/>
    <mergeCell ref="J37:K37"/>
    <mergeCell ref="L37:M37"/>
    <mergeCell ref="I37:I38"/>
    <mergeCell ref="J11:K11"/>
    <mergeCell ref="L11:M11"/>
    <mergeCell ref="I11:I12"/>
  </mergeCells>
  <pageMargins left="0.70866141732283472" right="0.70866141732283472" top="0.74803149606299213" bottom="0.74803149606299213" header="0.31496062992125984" footer="0.31496062992125984"/>
  <pageSetup paperSize="9" scale="6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K72"/>
  <sheetViews>
    <sheetView view="pageBreakPreview" topLeftCell="A16" zoomScaleNormal="100" zoomScaleSheetLayoutView="100" workbookViewId="0">
      <selection activeCell="E39" sqref="E39"/>
    </sheetView>
  </sheetViews>
  <sheetFormatPr defaultRowHeight="15"/>
  <cols>
    <col min="1" max="1" width="4.7109375" customWidth="1"/>
    <col min="2" max="2" width="64.85546875" customWidth="1"/>
    <col min="3" max="3" width="18.140625" customWidth="1"/>
    <col min="4" max="4" width="13.28515625" customWidth="1"/>
    <col min="5" max="5" width="17.28515625" customWidth="1"/>
    <col min="6" max="6" width="13.7109375" customWidth="1"/>
    <col min="7" max="7" width="13.140625" customWidth="1"/>
    <col min="8" max="8" width="16.42578125" customWidth="1"/>
    <col min="9" max="9" width="11.28515625" bestFit="1" customWidth="1"/>
    <col min="10" max="10" width="9.85546875" bestFit="1" customWidth="1"/>
  </cols>
  <sheetData>
    <row r="1" spans="2:6" ht="15.75">
      <c r="B1" s="291" t="s">
        <v>0</v>
      </c>
      <c r="C1" s="291"/>
      <c r="D1" s="291"/>
      <c r="E1" s="291"/>
      <c r="F1" s="291"/>
    </row>
    <row r="3" spans="2:6" ht="18" customHeight="1">
      <c r="B3" s="255" t="s">
        <v>151</v>
      </c>
      <c r="C3" s="255"/>
      <c r="D3" s="255"/>
      <c r="E3" s="255"/>
      <c r="F3" s="255"/>
    </row>
    <row r="4" spans="2:6" ht="18" customHeight="1">
      <c r="B4" s="238"/>
      <c r="C4" s="238"/>
      <c r="D4" s="238"/>
      <c r="E4" s="238"/>
      <c r="F4" s="238"/>
    </row>
    <row r="5" spans="2:6" ht="18" customHeight="1">
      <c r="B5" s="1" t="s">
        <v>316</v>
      </c>
    </row>
    <row r="6" spans="2:6" ht="18" customHeight="1"/>
    <row r="7" spans="2:6" ht="18" customHeight="1">
      <c r="B7" s="301" t="s">
        <v>112</v>
      </c>
      <c r="C7" s="301" t="s">
        <v>283</v>
      </c>
      <c r="D7" s="301"/>
      <c r="E7" s="301" t="s">
        <v>284</v>
      </c>
      <c r="F7" s="301"/>
    </row>
    <row r="8" spans="2:6" ht="27.75" customHeight="1">
      <c r="B8" s="301"/>
      <c r="C8" s="249" t="s">
        <v>285</v>
      </c>
      <c r="D8" s="249" t="s">
        <v>286</v>
      </c>
      <c r="E8" s="249" t="s">
        <v>285</v>
      </c>
      <c r="F8" s="249" t="s">
        <v>286</v>
      </c>
    </row>
    <row r="9" spans="2:6" ht="18" customHeight="1">
      <c r="B9" s="146" t="s">
        <v>317</v>
      </c>
      <c r="C9" s="147">
        <f>SUM(C11:C15)</f>
        <v>15797937.75</v>
      </c>
      <c r="D9" s="140">
        <f>C9*100/$C$9</f>
        <v>100</v>
      </c>
      <c r="E9" s="147">
        <f>SUM(E11:E15)</f>
        <v>17001194.619999997</v>
      </c>
      <c r="F9" s="141">
        <f>E9*100/$E$9</f>
        <v>100</v>
      </c>
    </row>
    <row r="10" spans="2:6" ht="18" customHeight="1">
      <c r="B10" s="148" t="s">
        <v>189</v>
      </c>
      <c r="C10" s="149"/>
      <c r="D10" s="140"/>
      <c r="E10" s="149"/>
      <c r="F10" s="141"/>
    </row>
    <row r="11" spans="2:6" ht="18" customHeight="1">
      <c r="B11" s="117" t="s">
        <v>288</v>
      </c>
      <c r="C11" s="122">
        <f>1973240.01+625562</f>
        <v>2598802.0099999998</v>
      </c>
      <c r="D11" s="140">
        <f t="shared" ref="D11:D15" si="0">C11*100/$C$9</f>
        <v>16.450261110821252</v>
      </c>
      <c r="E11" s="129">
        <f>351086.55+2833944.39-7982.01</f>
        <v>3177048.93</v>
      </c>
      <c r="F11" s="141">
        <f t="shared" ref="F11:F15" si="1">E11*100/$E$9</f>
        <v>18.687209934427539</v>
      </c>
    </row>
    <row r="12" spans="2:6" ht="18" customHeight="1">
      <c r="B12" s="117" t="s">
        <v>292</v>
      </c>
      <c r="C12" s="122">
        <f>8394579.95+970818.55</f>
        <v>9365398.5</v>
      </c>
      <c r="D12" s="140">
        <f t="shared" si="0"/>
        <v>59.282411718580164</v>
      </c>
      <c r="E12" s="129">
        <f>1037269.45+9501760.81-17065</f>
        <v>10521965.26</v>
      </c>
      <c r="F12" s="141">
        <f t="shared" si="1"/>
        <v>61.889564205224076</v>
      </c>
    </row>
    <row r="13" spans="2:6" ht="18" customHeight="1">
      <c r="B13" s="117" t="s">
        <v>318</v>
      </c>
      <c r="C13" s="122">
        <f>1443256.37+1206794.47</f>
        <v>2650050.84</v>
      </c>
      <c r="D13" s="140">
        <f t="shared" si="0"/>
        <v>16.774663136015967</v>
      </c>
      <c r="E13" s="129">
        <f>1305953.45+1626100.89-98775.99</f>
        <v>2833278.3499999996</v>
      </c>
      <c r="F13" s="141">
        <f t="shared" si="1"/>
        <v>16.665172144238415</v>
      </c>
    </row>
    <row r="14" spans="2:6" ht="18" customHeight="1">
      <c r="B14" s="117" t="s">
        <v>319</v>
      </c>
      <c r="C14" s="122">
        <f>3278.91+3354.48</f>
        <v>6633.3899999999994</v>
      </c>
      <c r="D14" s="140">
        <f t="shared" si="0"/>
        <v>4.1988961502269495E-2</v>
      </c>
      <c r="E14" s="206">
        <f>6175.17+3165.62</f>
        <v>9340.7900000000009</v>
      </c>
      <c r="F14" s="141">
        <f t="shared" si="1"/>
        <v>5.4941962660739203E-2</v>
      </c>
    </row>
    <row r="15" spans="2:6" ht="18" customHeight="1">
      <c r="B15" s="117" t="s">
        <v>320</v>
      </c>
      <c r="C15" s="205">
        <f>1011963.36+165089.65</f>
        <v>1177053.01</v>
      </c>
      <c r="D15" s="207">
        <f t="shared" si="0"/>
        <v>7.4506750730803457</v>
      </c>
      <c r="E15" s="82">
        <f>153501.63+15424.13+280408.23+10227.3</f>
        <v>459561.29</v>
      </c>
      <c r="F15" s="208">
        <f t="shared" si="1"/>
        <v>2.7031117534492415</v>
      </c>
    </row>
    <row r="16" spans="2:6" ht="18" customHeight="1">
      <c r="B16" s="238"/>
      <c r="C16" s="238"/>
      <c r="D16" s="238"/>
      <c r="E16" s="238"/>
      <c r="F16" s="238"/>
    </row>
    <row r="18" spans="2:6" ht="15.75">
      <c r="B18" s="1" t="s">
        <v>321</v>
      </c>
      <c r="C18" s="3"/>
      <c r="D18" s="3"/>
      <c r="E18" s="3"/>
      <c r="F18" s="3"/>
    </row>
    <row r="20" spans="2:6">
      <c r="B20" s="301" t="s">
        <v>112</v>
      </c>
      <c r="C20" s="301" t="s">
        <v>322</v>
      </c>
      <c r="D20" s="301"/>
      <c r="E20" s="301" t="s">
        <v>323</v>
      </c>
      <c r="F20" s="301"/>
    </row>
    <row r="21" spans="2:6" ht="30">
      <c r="B21" s="301"/>
      <c r="C21" s="249" t="s">
        <v>285</v>
      </c>
      <c r="D21" s="249" t="s">
        <v>286</v>
      </c>
      <c r="E21" s="249" t="s">
        <v>285</v>
      </c>
      <c r="F21" s="249" t="s">
        <v>286</v>
      </c>
    </row>
    <row r="22" spans="2:6" ht="26.45" customHeight="1">
      <c r="B22" s="138" t="s">
        <v>324</v>
      </c>
      <c r="C22" s="150">
        <f>C24+C25+C30+C38</f>
        <v>15798119.75</v>
      </c>
      <c r="D22" s="140">
        <f>C22*100/$C$22</f>
        <v>100</v>
      </c>
      <c r="E22" s="150">
        <f>E24+E25+E30+E38</f>
        <v>17001194.619999997</v>
      </c>
      <c r="F22" s="140">
        <f>E22*100/$E$22</f>
        <v>100</v>
      </c>
    </row>
    <row r="23" spans="2:6" ht="22.15" customHeight="1">
      <c r="B23" s="142" t="s">
        <v>189</v>
      </c>
      <c r="C23" s="151"/>
      <c r="D23" s="144"/>
      <c r="E23" s="151"/>
      <c r="F23" s="144"/>
    </row>
    <row r="24" spans="2:6" ht="35.1" customHeight="1">
      <c r="B24" s="117" t="s">
        <v>325</v>
      </c>
      <c r="C24" s="122">
        <v>339787.71</v>
      </c>
      <c r="D24" s="123">
        <f t="shared" ref="D24:D38" si="2">C24*100/$C$22</f>
        <v>2.1508110799071516</v>
      </c>
      <c r="E24" s="130">
        <v>346152.52</v>
      </c>
      <c r="F24" s="123">
        <f t="shared" ref="F24:F38" si="3">E24*100/$E$22</f>
        <v>2.0360482174163832</v>
      </c>
    </row>
    <row r="25" spans="2:6" ht="35.1" customHeight="1">
      <c r="B25" s="117" t="s">
        <v>326</v>
      </c>
      <c r="C25" s="122">
        <f>SUM(C26:C29)</f>
        <v>2766885.55</v>
      </c>
      <c r="D25" s="123">
        <f t="shared" si="2"/>
        <v>17.514018084335639</v>
      </c>
      <c r="E25" s="123">
        <f>SUM(E26:E29)</f>
        <v>2455042.7000000002</v>
      </c>
      <c r="F25" s="123">
        <f t="shared" si="3"/>
        <v>14.440412893761701</v>
      </c>
    </row>
    <row r="26" spans="2:6" ht="35.1" customHeight="1">
      <c r="B26" s="117" t="s">
        <v>327</v>
      </c>
      <c r="C26" s="122">
        <v>0</v>
      </c>
      <c r="D26" s="123">
        <f t="shared" si="2"/>
        <v>0</v>
      </c>
      <c r="E26" s="130">
        <v>221563.41</v>
      </c>
      <c r="F26" s="123">
        <f t="shared" si="3"/>
        <v>1.3032225967189124</v>
      </c>
    </row>
    <row r="27" spans="2:6" ht="35.1" customHeight="1">
      <c r="B27" s="117" t="s">
        <v>328</v>
      </c>
      <c r="C27" s="122">
        <f>1182799.65+9000</f>
        <v>1191799.6499999999</v>
      </c>
      <c r="D27" s="123">
        <f t="shared" si="2"/>
        <v>7.5439335114547408</v>
      </c>
      <c r="E27" s="130">
        <v>1154871.97</v>
      </c>
      <c r="F27" s="123">
        <f t="shared" si="3"/>
        <v>6.7928871812420919</v>
      </c>
    </row>
    <row r="28" spans="2:6" ht="35.1" customHeight="1">
      <c r="B28" s="117" t="s">
        <v>329</v>
      </c>
      <c r="C28" s="122">
        <f>921284.56+63897.35+488195.7</f>
        <v>1473377.61</v>
      </c>
      <c r="D28" s="123">
        <f t="shared" si="2"/>
        <v>9.3262846042169034</v>
      </c>
      <c r="E28" s="130">
        <f>351086.55+642520.77</f>
        <v>993607.32000000007</v>
      </c>
      <c r="F28" s="123">
        <f t="shared" si="3"/>
        <v>5.8443382492141609</v>
      </c>
    </row>
    <row r="29" spans="2:6" ht="35.1" customHeight="1">
      <c r="B29" s="117" t="s">
        <v>330</v>
      </c>
      <c r="C29" s="122">
        <f>85708.29+16000</f>
        <v>101708.29</v>
      </c>
      <c r="D29" s="123">
        <f t="shared" si="2"/>
        <v>0.64379996866399247</v>
      </c>
      <c r="E29" s="130">
        <v>85000</v>
      </c>
      <c r="F29" s="123">
        <f t="shared" si="3"/>
        <v>0.49996486658653411</v>
      </c>
    </row>
    <row r="30" spans="2:6" ht="35.1" customHeight="1">
      <c r="B30" s="117" t="s">
        <v>331</v>
      </c>
      <c r="C30" s="122">
        <f>SUM(C31:C37)</f>
        <v>3916396.42</v>
      </c>
      <c r="D30" s="123">
        <f t="shared" si="2"/>
        <v>24.790269234413167</v>
      </c>
      <c r="E30" s="123">
        <f>SUM(E31:E37)</f>
        <v>4332344.4799999995</v>
      </c>
      <c r="F30" s="123">
        <f t="shared" si="3"/>
        <v>25.482588587648319</v>
      </c>
    </row>
    <row r="31" spans="2:6" ht="35.1" customHeight="1">
      <c r="B31" s="117" t="s">
        <v>332</v>
      </c>
      <c r="C31" s="122">
        <v>853947.58</v>
      </c>
      <c r="D31" s="123">
        <f t="shared" si="2"/>
        <v>5.4053747756912651</v>
      </c>
      <c r="E31" s="130">
        <v>910687.76</v>
      </c>
      <c r="F31" s="123">
        <f t="shared" si="3"/>
        <v>5.3566104050634067</v>
      </c>
    </row>
    <row r="32" spans="2:6" ht="35.1" customHeight="1">
      <c r="B32" s="117" t="s">
        <v>333</v>
      </c>
      <c r="C32" s="122">
        <v>270615.46999999997</v>
      </c>
      <c r="D32" s="123">
        <f t="shared" si="2"/>
        <v>1.7129599868997065</v>
      </c>
      <c r="E32" s="130">
        <v>363286.25</v>
      </c>
      <c r="F32" s="123">
        <f t="shared" si="3"/>
        <v>2.136827782517321</v>
      </c>
    </row>
    <row r="33" spans="2:11" ht="35.1" customHeight="1">
      <c r="B33" s="117" t="s">
        <v>334</v>
      </c>
      <c r="C33" s="122">
        <f>130078.25+2868.6</f>
        <v>132946.85</v>
      </c>
      <c r="D33" s="123">
        <f t="shared" si="2"/>
        <v>0.84153590492944574</v>
      </c>
      <c r="E33" s="130">
        <f>142990.86+1835.7</f>
        <v>144826.56</v>
      </c>
      <c r="F33" s="123">
        <f t="shared" si="3"/>
        <v>0.85186107939513733</v>
      </c>
    </row>
    <row r="34" spans="2:11" ht="35.1" customHeight="1">
      <c r="B34" s="117" t="s">
        <v>335</v>
      </c>
      <c r="C34" s="122">
        <v>2733.57</v>
      </c>
      <c r="D34" s="123">
        <f t="shared" si="2"/>
        <v>1.7303135077198033E-2</v>
      </c>
      <c r="E34" s="130">
        <v>14005.4</v>
      </c>
      <c r="F34" s="123">
        <f t="shared" si="3"/>
        <v>8.2378916970482885E-2</v>
      </c>
      <c r="K34" s="11"/>
    </row>
    <row r="35" spans="2:11" ht="35.1" customHeight="1">
      <c r="B35" s="117" t="s">
        <v>336</v>
      </c>
      <c r="C35" s="122">
        <v>0</v>
      </c>
      <c r="D35" s="123">
        <f t="shared" si="2"/>
        <v>0</v>
      </c>
      <c r="E35" s="130">
        <v>0</v>
      </c>
      <c r="F35" s="123">
        <f t="shared" si="3"/>
        <v>0</v>
      </c>
    </row>
    <row r="36" spans="2:11" ht="43.5" customHeight="1">
      <c r="B36" s="117" t="s">
        <v>337</v>
      </c>
      <c r="C36" s="122">
        <v>6102.11</v>
      </c>
      <c r="D36" s="123">
        <f t="shared" si="2"/>
        <v>3.8625545929286936E-2</v>
      </c>
      <c r="E36" s="130">
        <v>66260.160000000003</v>
      </c>
      <c r="F36" s="123">
        <f t="shared" si="3"/>
        <v>0.38973825946355767</v>
      </c>
    </row>
    <row r="37" spans="2:11" ht="35.1" customHeight="1">
      <c r="B37" s="133" t="s">
        <v>338</v>
      </c>
      <c r="C37" s="134">
        <f>1443256.37+1206794.47</f>
        <v>2650050.84</v>
      </c>
      <c r="D37" s="201">
        <f t="shared" si="2"/>
        <v>16.774469885886262</v>
      </c>
      <c r="E37" s="209">
        <f>1305953.45+1350660.97-98775.99+275439.92</f>
        <v>2833278.3499999996</v>
      </c>
      <c r="F37" s="201">
        <f t="shared" si="3"/>
        <v>16.665172144238415</v>
      </c>
    </row>
    <row r="38" spans="2:11" ht="34.9" customHeight="1">
      <c r="B38" s="164" t="s">
        <v>339</v>
      </c>
      <c r="C38" s="203">
        <f>7526107.69+1248942.38</f>
        <v>8775050.0700000003</v>
      </c>
      <c r="D38" s="218">
        <f t="shared" si="2"/>
        <v>55.544901601344044</v>
      </c>
      <c r="E38" s="225">
        <f>1207525.13+8674949.5-17065-7982.01+10227.3</f>
        <v>9867654.9199999999</v>
      </c>
      <c r="F38" s="218">
        <f t="shared" si="3"/>
        <v>58.040950301173609</v>
      </c>
    </row>
    <row r="40" spans="2:11">
      <c r="B40" s="12"/>
    </row>
    <row r="42" spans="2:11">
      <c r="B42" s="13"/>
      <c r="C42" s="14"/>
      <c r="D42" s="14"/>
      <c r="E42" s="14"/>
      <c r="F42" s="15"/>
    </row>
    <row r="43" spans="2:11">
      <c r="B43" s="16"/>
      <c r="C43" s="250"/>
      <c r="D43" s="250"/>
      <c r="E43" s="14"/>
      <c r="F43" s="17"/>
    </row>
    <row r="44" spans="2:11" ht="23.25" customHeight="1">
      <c r="B44" s="16"/>
      <c r="C44" s="250"/>
      <c r="D44" s="250"/>
      <c r="E44" s="14"/>
      <c r="F44" s="17"/>
    </row>
    <row r="45" spans="2:11" ht="24.95" customHeight="1">
      <c r="B45" s="250"/>
      <c r="C45" s="302"/>
      <c r="D45" s="302"/>
      <c r="E45" s="302"/>
      <c r="F45" s="18"/>
    </row>
    <row r="46" spans="2:11" ht="24.95" customHeight="1">
      <c r="B46" s="250"/>
      <c r="C46" s="250"/>
      <c r="D46" s="250"/>
      <c r="E46" s="250"/>
      <c r="F46" s="18"/>
    </row>
    <row r="47" spans="2:11" ht="24.95" customHeight="1">
      <c r="B47" s="250"/>
      <c r="C47" s="302"/>
      <c r="D47" s="302"/>
      <c r="E47" s="302"/>
      <c r="F47" s="18"/>
    </row>
    <row r="48" spans="2:11" ht="24.95" customHeight="1">
      <c r="B48" s="250"/>
      <c r="C48" s="250"/>
      <c r="D48" s="250"/>
      <c r="E48" s="250"/>
      <c r="F48" s="18"/>
    </row>
    <row r="49" spans="2:6" ht="24.95" customHeight="1">
      <c r="B49" s="250"/>
      <c r="C49" s="302"/>
      <c r="D49" s="302"/>
      <c r="E49" s="302"/>
      <c r="F49" s="18"/>
    </row>
    <row r="50" spans="2:6" ht="24.95" customHeight="1">
      <c r="B50" s="250"/>
      <c r="C50" s="250"/>
      <c r="D50" s="250"/>
      <c r="E50" s="250"/>
      <c r="F50" s="18"/>
    </row>
    <row r="51" spans="2:6" ht="24.95" customHeight="1">
      <c r="B51" s="250"/>
      <c r="C51" s="302"/>
      <c r="D51" s="302"/>
      <c r="E51" s="302"/>
      <c r="F51" s="18"/>
    </row>
    <row r="52" spans="2:6" ht="24.95" customHeight="1">
      <c r="B52" s="250"/>
      <c r="C52" s="250"/>
      <c r="D52" s="250"/>
      <c r="E52" s="250"/>
      <c r="F52" s="18"/>
    </row>
    <row r="53" spans="2:6" ht="24.95" customHeight="1">
      <c r="B53" s="250"/>
      <c r="C53" s="302"/>
      <c r="D53" s="302"/>
      <c r="E53" s="302"/>
      <c r="F53" s="302"/>
    </row>
    <row r="54" spans="2:6" ht="24.95" customHeight="1">
      <c r="B54" s="250"/>
      <c r="C54" s="250"/>
      <c r="D54" s="250"/>
      <c r="E54" s="250"/>
      <c r="F54" s="250"/>
    </row>
    <row r="55" spans="2:6" ht="24.95" customHeight="1">
      <c r="B55" s="250"/>
      <c r="C55" s="302"/>
      <c r="D55" s="302"/>
      <c r="E55" s="302"/>
      <c r="F55" s="18"/>
    </row>
    <row r="56" spans="2:6" ht="24.95" customHeight="1">
      <c r="B56" s="250"/>
      <c r="C56" s="250"/>
      <c r="D56" s="250"/>
      <c r="E56" s="250"/>
      <c r="F56" s="18"/>
    </row>
    <row r="57" spans="2:6" ht="24.95" customHeight="1">
      <c r="B57" s="250"/>
      <c r="C57" s="302"/>
      <c r="D57" s="302"/>
      <c r="E57" s="302"/>
      <c r="F57" s="302"/>
    </row>
    <row r="58" spans="2:6" ht="24.95" customHeight="1">
      <c r="B58" s="250"/>
      <c r="C58" s="250"/>
      <c r="D58" s="250"/>
      <c r="E58" s="250"/>
      <c r="F58" s="250"/>
    </row>
    <row r="59" spans="2:6" ht="24.95" customHeight="1">
      <c r="B59" s="250"/>
      <c r="C59" s="302"/>
      <c r="D59" s="302"/>
      <c r="E59" s="302"/>
      <c r="F59" s="18"/>
    </row>
    <row r="60" spans="2:6" ht="24.95" customHeight="1">
      <c r="B60" s="250"/>
      <c r="C60" s="250"/>
      <c r="D60" s="250"/>
      <c r="E60" s="250"/>
      <c r="F60" s="18"/>
    </row>
    <row r="61" spans="2:6" ht="24.95" customHeight="1">
      <c r="B61" s="250"/>
      <c r="C61" s="302"/>
      <c r="D61" s="302"/>
      <c r="E61" s="302"/>
      <c r="F61" s="18"/>
    </row>
    <row r="62" spans="2:6">
      <c r="B62" s="250"/>
      <c r="C62" s="250"/>
      <c r="D62" s="250"/>
      <c r="E62" s="250"/>
      <c r="F62" s="19"/>
    </row>
    <row r="63" spans="2:6">
      <c r="B63" s="250"/>
      <c r="C63" s="302"/>
      <c r="D63" s="302"/>
      <c r="E63" s="302"/>
      <c r="F63" s="302"/>
    </row>
    <row r="64" spans="2:6" ht="30" customHeight="1">
      <c r="B64" s="250"/>
      <c r="C64" s="250"/>
      <c r="D64" s="250"/>
      <c r="E64" s="250"/>
      <c r="F64" s="250"/>
    </row>
    <row r="65" spans="2:6">
      <c r="B65" s="250"/>
      <c r="C65" s="250"/>
      <c r="D65" s="250"/>
      <c r="E65" s="250"/>
      <c r="F65" s="250"/>
    </row>
    <row r="66" spans="2:6">
      <c r="B66" s="250"/>
      <c r="C66" s="302"/>
      <c r="D66" s="302"/>
      <c r="E66" s="302"/>
      <c r="F66" s="19"/>
    </row>
    <row r="67" spans="2:6" ht="28.5" customHeight="1">
      <c r="B67" s="250"/>
      <c r="C67" s="250"/>
      <c r="D67" s="250"/>
      <c r="E67" s="250"/>
      <c r="F67" s="19"/>
    </row>
    <row r="68" spans="2:6">
      <c r="B68" s="250"/>
      <c r="C68" s="250"/>
      <c r="D68" s="250"/>
      <c r="E68" s="250"/>
      <c r="F68" s="19"/>
    </row>
    <row r="69" spans="2:6">
      <c r="B69" s="250"/>
      <c r="C69" s="302"/>
      <c r="D69" s="302"/>
      <c r="E69" s="302"/>
      <c r="F69" s="19"/>
    </row>
    <row r="70" spans="2:6" ht="29.25" customHeight="1">
      <c r="B70" s="250"/>
      <c r="C70" s="250"/>
      <c r="D70" s="250"/>
      <c r="E70" s="250"/>
      <c r="F70" s="19"/>
    </row>
    <row r="71" spans="2:6">
      <c r="B71" s="250"/>
      <c r="C71" s="250"/>
      <c r="D71" s="250"/>
      <c r="E71" s="250"/>
      <c r="F71" s="19"/>
    </row>
    <row r="72" spans="2:6">
      <c r="B72" s="250"/>
      <c r="C72" s="302"/>
      <c r="D72" s="302"/>
      <c r="E72" s="302"/>
      <c r="F72" s="302"/>
    </row>
  </sheetData>
  <mergeCells count="21">
    <mergeCell ref="B1:F1"/>
    <mergeCell ref="C49:E49"/>
    <mergeCell ref="C51:E51"/>
    <mergeCell ref="C53:F53"/>
    <mergeCell ref="C55:E55"/>
    <mergeCell ref="B3:F3"/>
    <mergeCell ref="C45:E45"/>
    <mergeCell ref="C47:E47"/>
    <mergeCell ref="B20:B21"/>
    <mergeCell ref="C20:D20"/>
    <mergeCell ref="E20:F20"/>
    <mergeCell ref="B7:B8"/>
    <mergeCell ref="C7:D7"/>
    <mergeCell ref="E7:F7"/>
    <mergeCell ref="C57:F57"/>
    <mergeCell ref="C72:F72"/>
    <mergeCell ref="C59:E59"/>
    <mergeCell ref="C61:E61"/>
    <mergeCell ref="C63:F63"/>
    <mergeCell ref="C66:E66"/>
    <mergeCell ref="C69:E69"/>
  </mergeCells>
  <printOptions horizontalCentered="1" verticalCentered="1"/>
  <pageMargins left="0.70866141732283472" right="0.70866141732283472" top="0.74803149606299213" bottom="0.74803149606299213" header="0.31496062992125984" footer="0.31496062992125984"/>
  <pageSetup paperSize="9" scale="4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59"/>
  <sheetViews>
    <sheetView view="pageBreakPreview" zoomScale="80" zoomScaleNormal="100" zoomScaleSheetLayoutView="80" workbookViewId="0">
      <selection activeCell="F22" sqref="F22"/>
    </sheetView>
  </sheetViews>
  <sheetFormatPr defaultRowHeight="15"/>
  <cols>
    <col min="1" max="1" width="5.42578125" customWidth="1"/>
    <col min="2" max="2" width="64.85546875" customWidth="1"/>
    <col min="3" max="3" width="18.140625" customWidth="1"/>
    <col min="4" max="4" width="13.28515625" customWidth="1"/>
    <col min="5" max="5" width="17.28515625" customWidth="1"/>
    <col min="6" max="6" width="13.7109375" customWidth="1"/>
    <col min="7" max="7" width="13.140625" customWidth="1"/>
    <col min="8" max="8" width="18" customWidth="1"/>
    <col min="9" max="9" width="11.28515625" bestFit="1" customWidth="1"/>
    <col min="10" max="10" width="9.85546875" bestFit="1" customWidth="1"/>
  </cols>
  <sheetData>
    <row r="1" spans="1:12" ht="15.75">
      <c r="B1" s="291" t="s">
        <v>0</v>
      </c>
      <c r="C1" s="291"/>
      <c r="D1" s="291"/>
      <c r="E1" s="291"/>
      <c r="F1" s="291"/>
      <c r="G1" s="291"/>
      <c r="H1" s="291"/>
    </row>
    <row r="3" spans="1:12" ht="18" customHeight="1">
      <c r="B3" s="255" t="s">
        <v>151</v>
      </c>
      <c r="C3" s="255"/>
      <c r="D3" s="255"/>
      <c r="E3" s="255"/>
      <c r="F3" s="255"/>
      <c r="G3" s="255"/>
      <c r="H3" s="255"/>
    </row>
    <row r="4" spans="1:12" ht="18.75">
      <c r="B4" s="73"/>
      <c r="C4" s="7"/>
      <c r="D4" s="7"/>
      <c r="E4" s="7"/>
    </row>
    <row r="5" spans="1:12" ht="14.45" customHeight="1">
      <c r="A5" s="119" t="s">
        <v>340</v>
      </c>
      <c r="B5" s="300" t="s">
        <v>341</v>
      </c>
      <c r="C5" s="300"/>
      <c r="D5" s="300"/>
      <c r="E5" s="300"/>
      <c r="F5" s="300"/>
    </row>
    <row r="7" spans="1:12" ht="15.75">
      <c r="B7" s="2" t="s">
        <v>342</v>
      </c>
    </row>
    <row r="8" spans="1:12" ht="15.6" customHeight="1">
      <c r="B8" s="2"/>
    </row>
    <row r="9" spans="1:12" ht="26.45" customHeight="1">
      <c r="B9" s="303" t="s">
        <v>112</v>
      </c>
      <c r="C9" s="305" t="s">
        <v>343</v>
      </c>
      <c r="D9" s="305"/>
      <c r="E9" s="305"/>
      <c r="F9" s="305" t="s">
        <v>344</v>
      </c>
      <c r="G9" s="305"/>
      <c r="H9" s="305"/>
    </row>
    <row r="10" spans="1:12" ht="96.6" customHeight="1">
      <c r="B10" s="304"/>
      <c r="C10" s="249" t="s">
        <v>285</v>
      </c>
      <c r="D10" s="121" t="s">
        <v>286</v>
      </c>
      <c r="E10" s="152" t="s">
        <v>345</v>
      </c>
      <c r="F10" s="249" t="s">
        <v>285</v>
      </c>
      <c r="G10" s="121" t="s">
        <v>286</v>
      </c>
      <c r="H10" s="152" t="s">
        <v>345</v>
      </c>
    </row>
    <row r="11" spans="1:12" ht="35.1" customHeight="1">
      <c r="B11" s="128" t="s">
        <v>346</v>
      </c>
      <c r="C11" s="125">
        <f>C13+C14+C15+C16+C17+C18+C22</f>
        <v>15592773.729999999</v>
      </c>
      <c r="D11" s="126">
        <f>C11*100/$C$11</f>
        <v>100</v>
      </c>
      <c r="E11" s="125">
        <f>E13+E14+E15+E16+E17+E18+E22</f>
        <v>333199.03999999998</v>
      </c>
      <c r="F11" s="125">
        <f>F13+F14+F15+F16+F17+F18+F22</f>
        <v>16928922.390000001</v>
      </c>
      <c r="G11" s="153">
        <f>F11*100/$F$11</f>
        <v>100</v>
      </c>
      <c r="H11" s="125">
        <f>H13+H14+H15+H16+H17+H18+H22</f>
        <v>0</v>
      </c>
      <c r="I11" s="11"/>
    </row>
    <row r="12" spans="1:12" ht="24.6" customHeight="1">
      <c r="B12" s="117" t="s">
        <v>189</v>
      </c>
      <c r="C12" s="125"/>
      <c r="D12" s="126"/>
      <c r="E12" s="125"/>
      <c r="F12" s="125"/>
      <c r="G12" s="153"/>
      <c r="H12" s="125"/>
      <c r="I12" s="11"/>
    </row>
    <row r="13" spans="1:12" ht="35.1" customHeight="1">
      <c r="B13" s="117" t="s">
        <v>347</v>
      </c>
      <c r="C13" s="122">
        <f>1957739.61+625562</f>
        <v>2583301.6100000003</v>
      </c>
      <c r="D13" s="123">
        <f>C13*100/$C$11</f>
        <v>16.567300050213714</v>
      </c>
      <c r="E13" s="122">
        <v>196303.61</v>
      </c>
      <c r="F13" s="124">
        <f>351086.55+2314947.84-17065</f>
        <v>2648969.3899999997</v>
      </c>
      <c r="G13" s="157">
        <f>F13*100/$F$11</f>
        <v>15.647596042880787</v>
      </c>
      <c r="H13" s="124"/>
      <c r="I13" s="11"/>
      <c r="L13" s="11"/>
    </row>
    <row r="14" spans="1:12" ht="35.1" customHeight="1">
      <c r="B14" s="117" t="s">
        <v>348</v>
      </c>
      <c r="C14" s="122">
        <f>8532501.19+1026826.61</f>
        <v>9559327.7999999989</v>
      </c>
      <c r="D14" s="123">
        <f t="shared" ref="D14:D27" si="0">C14*100/$C$11</f>
        <v>61.30614068751705</v>
      </c>
      <c r="E14" s="122">
        <v>132882.85</v>
      </c>
      <c r="F14" s="124">
        <f>1096779.01+9304504.15</f>
        <v>10401283.16</v>
      </c>
      <c r="G14" s="157">
        <f t="shared" ref="G14:G27" si="1">F14*100/$F$11</f>
        <v>61.440905217594299</v>
      </c>
      <c r="H14" s="124"/>
      <c r="I14" s="11"/>
    </row>
    <row r="15" spans="1:12" ht="35.1" customHeight="1">
      <c r="B15" s="117" t="s">
        <v>349</v>
      </c>
      <c r="C15" s="122">
        <v>6239.09</v>
      </c>
      <c r="D15" s="123">
        <f t="shared" si="0"/>
        <v>4.0012701447698112E-2</v>
      </c>
      <c r="E15" s="122">
        <v>4012.58</v>
      </c>
      <c r="F15" s="124">
        <v>0</v>
      </c>
      <c r="G15" s="157">
        <f t="shared" si="1"/>
        <v>0</v>
      </c>
      <c r="H15" s="124"/>
      <c r="I15" s="11"/>
    </row>
    <row r="16" spans="1:12" ht="35.1" customHeight="1">
      <c r="B16" s="154" t="s">
        <v>350</v>
      </c>
      <c r="C16" s="122">
        <f>1241708.26+884773.44</f>
        <v>2126481.7000000002</v>
      </c>
      <c r="D16" s="123">
        <f t="shared" si="0"/>
        <v>13.637610195732639</v>
      </c>
      <c r="E16" s="122"/>
      <c r="F16" s="124">
        <f>1078662.93+1489522.85-106758</f>
        <v>2461427.7800000003</v>
      </c>
      <c r="G16" s="157">
        <f t="shared" si="1"/>
        <v>14.539778275869338</v>
      </c>
      <c r="H16" s="124"/>
      <c r="I16" s="11"/>
    </row>
    <row r="17" spans="2:12" ht="35.1" customHeight="1">
      <c r="B17" s="117" t="s">
        <v>351</v>
      </c>
      <c r="C17" s="122">
        <f>686203.48+340636.78</f>
        <v>1026840.26</v>
      </c>
      <c r="D17" s="123">
        <f t="shared" si="0"/>
        <v>6.5853598454032083</v>
      </c>
      <c r="E17" s="122"/>
      <c r="F17" s="124">
        <f>320630.82+854260.77</f>
        <v>1174891.5900000001</v>
      </c>
      <c r="G17" s="157">
        <f t="shared" si="1"/>
        <v>6.9401439910552991</v>
      </c>
      <c r="H17" s="124"/>
      <c r="I17" s="11"/>
    </row>
    <row r="18" spans="2:12" ht="35.1" customHeight="1">
      <c r="B18" s="117" t="s">
        <v>352</v>
      </c>
      <c r="C18" s="122">
        <f>SUM(C19:C21)</f>
        <v>263425.62</v>
      </c>
      <c r="D18" s="123">
        <f t="shared" si="0"/>
        <v>1.689408341077749</v>
      </c>
      <c r="E18" s="122">
        <f>SUM(E19:E21)</f>
        <v>0</v>
      </c>
      <c r="F18" s="122">
        <f>SUM(F19:F21)</f>
        <v>205566.91000000003</v>
      </c>
      <c r="G18" s="157">
        <f t="shared" si="1"/>
        <v>1.2142941249552273</v>
      </c>
      <c r="H18" s="122">
        <f>SUM(H19:H21)</f>
        <v>0</v>
      </c>
      <c r="I18" s="11"/>
    </row>
    <row r="19" spans="2:12" ht="35.1" customHeight="1">
      <c r="B19" s="117" t="s">
        <v>353</v>
      </c>
      <c r="C19" s="122">
        <v>65479.81</v>
      </c>
      <c r="D19" s="123">
        <f t="shared" si="0"/>
        <v>0.41993689598675404</v>
      </c>
      <c r="E19" s="122"/>
      <c r="F19" s="124">
        <v>1773.32</v>
      </c>
      <c r="G19" s="157">
        <f t="shared" si="1"/>
        <v>1.0475090848354938E-2</v>
      </c>
      <c r="H19" s="124"/>
      <c r="I19" s="11"/>
    </row>
    <row r="20" spans="2:12" ht="35.1" customHeight="1">
      <c r="B20" s="117" t="s">
        <v>313</v>
      </c>
      <c r="C20" s="122">
        <v>0</v>
      </c>
      <c r="D20" s="123">
        <f t="shared" si="0"/>
        <v>0</v>
      </c>
      <c r="E20" s="122"/>
      <c r="F20" s="124">
        <v>0</v>
      </c>
      <c r="G20" s="157">
        <f t="shared" si="1"/>
        <v>0</v>
      </c>
      <c r="H20" s="124"/>
      <c r="I20" s="11"/>
    </row>
    <row r="21" spans="2:12" ht="35.1" customHeight="1">
      <c r="B21" s="117" t="s">
        <v>314</v>
      </c>
      <c r="C21" s="122">
        <f>194674+3271.81</f>
        <v>197945.81</v>
      </c>
      <c r="D21" s="123">
        <f t="shared" si="0"/>
        <v>1.2694714450909947</v>
      </c>
      <c r="E21" s="122"/>
      <c r="F21" s="124">
        <f>15948.39+187845.2</f>
        <v>203793.59000000003</v>
      </c>
      <c r="G21" s="157">
        <f t="shared" si="1"/>
        <v>1.2038190341068722</v>
      </c>
      <c r="H21" s="124"/>
      <c r="I21" s="11"/>
    </row>
    <row r="22" spans="2:12" ht="35.1" customHeight="1">
      <c r="B22" s="117" t="s">
        <v>354</v>
      </c>
      <c r="C22" s="122">
        <f>SUM(C23:C26)</f>
        <v>27157.65</v>
      </c>
      <c r="D22" s="123">
        <f t="shared" si="0"/>
        <v>0.17416817860795061</v>
      </c>
      <c r="E22" s="122">
        <f>SUM(E23:E26)</f>
        <v>0</v>
      </c>
      <c r="F22" s="122">
        <f>SUM(F23:F26)</f>
        <v>36783.560000000005</v>
      </c>
      <c r="G22" s="157">
        <f t="shared" si="1"/>
        <v>0.21728234764504703</v>
      </c>
      <c r="H22" s="122">
        <f>SUM(H23:H26)</f>
        <v>0</v>
      </c>
      <c r="I22" s="11"/>
      <c r="L22" s="11"/>
    </row>
    <row r="23" spans="2:12" ht="35.1" customHeight="1">
      <c r="B23" s="85" t="s">
        <v>302</v>
      </c>
      <c r="C23" s="122">
        <f>10.25+16421.14</f>
        <v>16431.39</v>
      </c>
      <c r="D23" s="123">
        <f t="shared" si="0"/>
        <v>0.10537823664039023</v>
      </c>
      <c r="E23" s="122"/>
      <c r="F23" s="124">
        <f>41.64+34969.51</f>
        <v>35011.15</v>
      </c>
      <c r="G23" s="157">
        <f t="shared" si="1"/>
        <v>0.20681263221267565</v>
      </c>
      <c r="H23" s="124"/>
      <c r="I23" s="11"/>
      <c r="L23" s="11"/>
    </row>
    <row r="24" spans="2:12" ht="35.1" customHeight="1">
      <c r="B24" s="85" t="s">
        <v>303</v>
      </c>
      <c r="C24" s="122">
        <v>0</v>
      </c>
      <c r="D24" s="123">
        <f t="shared" si="0"/>
        <v>0</v>
      </c>
      <c r="E24" s="122"/>
      <c r="F24" s="124">
        <v>209.29</v>
      </c>
      <c r="G24" s="157">
        <f t="shared" si="1"/>
        <v>1.2362866057182035E-3</v>
      </c>
      <c r="H24" s="124"/>
      <c r="I24" s="11"/>
      <c r="L24" s="11"/>
    </row>
    <row r="25" spans="2:12" ht="35.1" customHeight="1">
      <c r="B25" s="85" t="s">
        <v>304</v>
      </c>
      <c r="C25" s="122">
        <v>0</v>
      </c>
      <c r="D25" s="123">
        <f t="shared" si="0"/>
        <v>0</v>
      </c>
      <c r="E25" s="122"/>
      <c r="F25" s="124">
        <v>0</v>
      </c>
      <c r="G25" s="157">
        <f t="shared" si="1"/>
        <v>0</v>
      </c>
      <c r="H25" s="124"/>
      <c r="I25" s="11"/>
      <c r="L25" s="11"/>
    </row>
    <row r="26" spans="2:12" ht="37.9" customHeight="1">
      <c r="B26" s="155" t="s">
        <v>300</v>
      </c>
      <c r="C26" s="134">
        <v>10726.26</v>
      </c>
      <c r="D26" s="123">
        <f t="shared" si="0"/>
        <v>6.8789941967560386E-2</v>
      </c>
      <c r="E26" s="134"/>
      <c r="F26" s="156">
        <v>1563.12</v>
      </c>
      <c r="G26" s="157">
        <f t="shared" si="1"/>
        <v>9.233428826653154E-3</v>
      </c>
      <c r="H26" s="156"/>
      <c r="I26" s="11"/>
      <c r="J26" s="11"/>
    </row>
    <row r="27" spans="2:12" ht="42.6" customHeight="1">
      <c r="B27" s="84" t="s">
        <v>355</v>
      </c>
      <c r="C27" s="74">
        <v>0</v>
      </c>
      <c r="D27" s="123">
        <f t="shared" si="0"/>
        <v>0</v>
      </c>
      <c r="E27" s="74"/>
      <c r="F27" s="74"/>
      <c r="G27" s="157">
        <f t="shared" si="1"/>
        <v>0</v>
      </c>
      <c r="H27" s="74"/>
    </row>
    <row r="28" spans="2:12">
      <c r="B28" s="12"/>
    </row>
    <row r="29" spans="2:12" ht="21" customHeight="1">
      <c r="B29" s="95" t="s">
        <v>356</v>
      </c>
    </row>
    <row r="31" spans="2:12" ht="23.25" customHeight="1">
      <c r="B31" s="306" t="s">
        <v>112</v>
      </c>
      <c r="C31" s="307" t="s">
        <v>357</v>
      </c>
      <c r="D31" s="307"/>
      <c r="E31" s="307" t="s">
        <v>344</v>
      </c>
      <c r="F31" s="307"/>
    </row>
    <row r="32" spans="2:12" ht="27" customHeight="1">
      <c r="B32" s="306"/>
      <c r="C32" s="251" t="s">
        <v>285</v>
      </c>
      <c r="D32" s="251" t="s">
        <v>286</v>
      </c>
      <c r="E32" s="251" t="s">
        <v>285</v>
      </c>
      <c r="F32" s="251" t="s">
        <v>286</v>
      </c>
    </row>
    <row r="33" spans="2:6" ht="24.95" customHeight="1">
      <c r="B33" s="159" t="s">
        <v>358</v>
      </c>
      <c r="C33" s="89">
        <f>SUM(C35:C44)</f>
        <v>15287795.959999999</v>
      </c>
      <c r="D33" s="89">
        <f>C33*100/$C$33</f>
        <v>100</v>
      </c>
      <c r="E33" s="89">
        <f>SUM(E35:E44)</f>
        <v>16686571.919999998</v>
      </c>
      <c r="F33" s="89">
        <f>E33*100/$E$33</f>
        <v>100</v>
      </c>
    </row>
    <row r="34" spans="2:6" ht="24.95" customHeight="1">
      <c r="B34" s="87" t="s">
        <v>189</v>
      </c>
      <c r="C34" s="89"/>
      <c r="D34" s="89"/>
      <c r="E34" s="89"/>
      <c r="F34" s="89"/>
    </row>
    <row r="35" spans="2:6" ht="24.95" customHeight="1">
      <c r="B35" s="160" t="s">
        <v>359</v>
      </c>
      <c r="C35" s="88">
        <f>380122.57+226954.87</f>
        <v>607077.43999999994</v>
      </c>
      <c r="D35" s="89">
        <f t="shared" ref="D35:D44" si="2">C35*100/$C$33</f>
        <v>3.9709938671892111</v>
      </c>
      <c r="E35" s="158">
        <f>286641.24+245825.8</f>
        <v>532467.04</v>
      </c>
      <c r="F35" s="89">
        <f t="shared" ref="F35:F43" si="3">E35*100/$E$33</f>
        <v>3.1909911907178601</v>
      </c>
    </row>
    <row r="36" spans="2:6" ht="24.95" customHeight="1">
      <c r="B36" s="160" t="s">
        <v>360</v>
      </c>
      <c r="C36" s="88">
        <f>4859758.57+1178066.01</f>
        <v>6037824.5800000001</v>
      </c>
      <c r="D36" s="89">
        <f t="shared" si="2"/>
        <v>39.494408453630356</v>
      </c>
      <c r="E36" s="158">
        <f>1065575.61+6014721.8</f>
        <v>7080297.4100000001</v>
      </c>
      <c r="F36" s="89">
        <f t="shared" si="3"/>
        <v>42.431108342353888</v>
      </c>
    </row>
    <row r="37" spans="2:6" ht="24.95" customHeight="1">
      <c r="B37" s="160" t="s">
        <v>361</v>
      </c>
      <c r="C37" s="88">
        <f>4555813.14+356115.62</f>
        <v>4911928.76</v>
      </c>
      <c r="D37" s="89">
        <f t="shared" si="2"/>
        <v>32.129737817353757</v>
      </c>
      <c r="E37" s="158">
        <f>4524526.38+353290.62-106758</f>
        <v>4771059</v>
      </c>
      <c r="F37" s="89">
        <f t="shared" si="3"/>
        <v>28.59220589389939</v>
      </c>
    </row>
    <row r="38" spans="2:6" ht="24.95" customHeight="1">
      <c r="B38" s="161" t="s">
        <v>362</v>
      </c>
      <c r="C38" s="88">
        <f>615416.97+470480.26</f>
        <v>1085897.23</v>
      </c>
      <c r="D38" s="89">
        <f t="shared" si="2"/>
        <v>7.1030332484892744</v>
      </c>
      <c r="E38" s="158">
        <f>741986.27+500350.67</f>
        <v>1242336.94</v>
      </c>
      <c r="F38" s="89">
        <f t="shared" si="3"/>
        <v>7.4451298083039701</v>
      </c>
    </row>
    <row r="39" spans="2:6" ht="24.95" customHeight="1">
      <c r="B39" s="160" t="s">
        <v>363</v>
      </c>
      <c r="C39" s="88">
        <f>807187.1+379973.59</f>
        <v>1187160.69</v>
      </c>
      <c r="D39" s="89">
        <f t="shared" si="2"/>
        <v>7.7654142762381557</v>
      </c>
      <c r="E39" s="158">
        <f>1086801.47+387394.17</f>
        <v>1474195.64</v>
      </c>
      <c r="F39" s="89">
        <f t="shared" si="3"/>
        <v>8.8346225160428293</v>
      </c>
    </row>
    <row r="40" spans="2:6" ht="24.95" customHeight="1">
      <c r="B40" s="160" t="s">
        <v>364</v>
      </c>
      <c r="C40" s="88">
        <f>177863.02+124701.5</f>
        <v>302564.52</v>
      </c>
      <c r="D40" s="89">
        <f t="shared" si="2"/>
        <v>1.9791245303878324</v>
      </c>
      <c r="E40" s="88">
        <f>218177.4+140390.04</f>
        <v>358567.44</v>
      </c>
      <c r="F40" s="89">
        <f t="shared" si="3"/>
        <v>2.1488382498159035</v>
      </c>
    </row>
    <row r="41" spans="2:6" ht="24.95" customHeight="1">
      <c r="B41" s="160" t="s">
        <v>365</v>
      </c>
      <c r="C41" s="88">
        <f>193065.43+3294</f>
        <v>196359.43</v>
      </c>
      <c r="D41" s="89">
        <f t="shared" si="2"/>
        <v>1.2844194841020105</v>
      </c>
      <c r="E41" s="158">
        <f>193312.43+3454.92</f>
        <v>196767.35</v>
      </c>
      <c r="F41" s="89">
        <f t="shared" si="3"/>
        <v>1.1791957685698216</v>
      </c>
    </row>
    <row r="42" spans="2:6" ht="24.95" customHeight="1">
      <c r="B42" s="160" t="s">
        <v>366</v>
      </c>
      <c r="C42" s="88">
        <f>3400+2019.46</f>
        <v>5419.46</v>
      </c>
      <c r="D42" s="89">
        <f t="shared" si="2"/>
        <v>3.5449583538266952E-2</v>
      </c>
      <c r="E42" s="158">
        <f>2692.78+1320</f>
        <v>4012.78</v>
      </c>
      <c r="F42" s="89">
        <f t="shared" si="3"/>
        <v>2.4047959156849999E-2</v>
      </c>
    </row>
    <row r="43" spans="2:6" ht="24.95" customHeight="1">
      <c r="B43" s="160" t="s">
        <v>367</v>
      </c>
      <c r="C43" s="88">
        <f>270869.17+75847.51</f>
        <v>346716.68</v>
      </c>
      <c r="D43" s="89">
        <f t="shared" si="2"/>
        <v>2.2679311060088221</v>
      </c>
      <c r="E43" s="88">
        <f>309405.4+90789.24</f>
        <v>400194.64</v>
      </c>
      <c r="F43" s="89">
        <f t="shared" si="3"/>
        <v>2.3983035096641951</v>
      </c>
    </row>
    <row r="44" spans="2:6" ht="24.95" customHeight="1">
      <c r="B44" s="160" t="s">
        <v>368</v>
      </c>
      <c r="C44" s="88">
        <f>547881.7+58965.47</f>
        <v>606847.16999999993</v>
      </c>
      <c r="D44" s="89">
        <f t="shared" si="2"/>
        <v>3.9694876330623132</v>
      </c>
      <c r="E44" s="158">
        <f>584970.44+58768.24-17065</f>
        <v>626673.67999999993</v>
      </c>
      <c r="F44" s="89">
        <f>E44*100/$E$33</f>
        <v>3.7555567614753071</v>
      </c>
    </row>
    <row r="45" spans="2:6" ht="24.95" customHeight="1"/>
    <row r="46" spans="2:6" ht="24.95" customHeight="1"/>
    <row r="47" spans="2:6" ht="24.95" customHeight="1"/>
    <row r="48" spans="2:6" ht="24.95" customHeight="1"/>
    <row r="51" spans="2:6" ht="30" customHeight="1"/>
    <row r="54" spans="2:6" ht="28.5" customHeight="1"/>
    <row r="55" spans="2:6">
      <c r="B55" s="250"/>
      <c r="C55" s="250"/>
      <c r="D55" s="250"/>
      <c r="E55" s="250"/>
      <c r="F55" s="19"/>
    </row>
    <row r="56" spans="2:6">
      <c r="B56" s="250"/>
      <c r="C56" s="302"/>
      <c r="D56" s="302"/>
      <c r="E56" s="302"/>
      <c r="F56" s="19"/>
    </row>
    <row r="57" spans="2:6" ht="29.25" customHeight="1">
      <c r="B57" s="250"/>
      <c r="C57" s="250"/>
      <c r="D57" s="250"/>
      <c r="E57" s="250"/>
      <c r="F57" s="19"/>
    </row>
    <row r="58" spans="2:6">
      <c r="B58" s="250"/>
      <c r="C58" s="250"/>
      <c r="D58" s="250"/>
      <c r="E58" s="250"/>
      <c r="F58" s="19"/>
    </row>
    <row r="59" spans="2:6">
      <c r="B59" s="250"/>
      <c r="C59" s="302"/>
      <c r="D59" s="302"/>
      <c r="E59" s="302"/>
      <c r="F59" s="302"/>
    </row>
  </sheetData>
  <mergeCells count="11">
    <mergeCell ref="B1:H1"/>
    <mergeCell ref="B3:H3"/>
    <mergeCell ref="B31:B32"/>
    <mergeCell ref="C31:D31"/>
    <mergeCell ref="E31:F31"/>
    <mergeCell ref="C59:F59"/>
    <mergeCell ref="B5:F5"/>
    <mergeCell ref="C56:E56"/>
    <mergeCell ref="B9:B10"/>
    <mergeCell ref="C9:E9"/>
    <mergeCell ref="F9:H9"/>
  </mergeCells>
  <pageMargins left="0.7" right="0.7" top="0.75" bottom="0.75" header="0.3" footer="0.3"/>
  <pageSetup paperSize="9" scale="53"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D37"/>
  <sheetViews>
    <sheetView view="pageBreakPreview" topLeftCell="A19" zoomScale="90" zoomScaleNormal="100" zoomScaleSheetLayoutView="90" workbookViewId="0">
      <selection activeCell="C10" sqref="C10"/>
    </sheetView>
  </sheetViews>
  <sheetFormatPr defaultRowHeight="15"/>
  <cols>
    <col min="1" max="1" width="5.28515625" customWidth="1"/>
    <col min="2" max="2" width="58.85546875" customWidth="1"/>
    <col min="3" max="3" width="19.7109375" customWidth="1"/>
    <col min="4" max="4" width="23" customWidth="1"/>
  </cols>
  <sheetData>
    <row r="1" spans="1:4" ht="15.75">
      <c r="B1" s="291" t="s">
        <v>0</v>
      </c>
      <c r="C1" s="291"/>
      <c r="D1" s="291"/>
    </row>
    <row r="2" spans="1:4" ht="15.75">
      <c r="B2" s="246"/>
      <c r="C2" s="246"/>
      <c r="D2" s="246"/>
    </row>
    <row r="3" spans="1:4" ht="18" customHeight="1">
      <c r="B3" s="255" t="s">
        <v>151</v>
      </c>
      <c r="C3" s="255"/>
      <c r="D3" s="255"/>
    </row>
    <row r="5" spans="1:4" ht="15.75">
      <c r="A5" s="119" t="s">
        <v>369</v>
      </c>
      <c r="B5" s="10" t="s">
        <v>370</v>
      </c>
      <c r="C5" s="22"/>
      <c r="D5" s="10"/>
    </row>
    <row r="7" spans="1:4" ht="25.9" customHeight="1">
      <c r="B7" s="162" t="s">
        <v>112</v>
      </c>
      <c r="C7" s="162" t="s">
        <v>371</v>
      </c>
      <c r="D7" s="162" t="s">
        <v>372</v>
      </c>
    </row>
    <row r="8" spans="1:4" ht="25.15" customHeight="1">
      <c r="B8" s="80" t="s">
        <v>373</v>
      </c>
      <c r="C8" s="163">
        <f>1880350.75+2535796.4+314890.76-324894.72</f>
        <v>4406143.1900000004</v>
      </c>
      <c r="D8" s="163">
        <v>4715852.04</v>
      </c>
    </row>
    <row r="9" spans="1:4" ht="25.15" customHeight="1">
      <c r="B9" s="80" t="s">
        <v>374</v>
      </c>
      <c r="C9" s="158">
        <f>C10+C11</f>
        <v>320618.05000000005</v>
      </c>
      <c r="D9" s="158">
        <f>D10+D11</f>
        <v>252935</v>
      </c>
    </row>
    <row r="10" spans="1:4" ht="25.15" customHeight="1">
      <c r="B10" s="164" t="s">
        <v>375</v>
      </c>
      <c r="C10" s="158">
        <v>289792.15000000002</v>
      </c>
      <c r="D10" s="158">
        <f>190517.48</f>
        <v>190517.48</v>
      </c>
    </row>
    <row r="11" spans="1:4" ht="25.15" customHeight="1">
      <c r="B11" s="164" t="s">
        <v>376</v>
      </c>
      <c r="C11" s="158">
        <v>30825.9</v>
      </c>
      <c r="D11" s="158">
        <v>62417.52</v>
      </c>
    </row>
    <row r="12" spans="1:4" ht="25.15" customHeight="1">
      <c r="B12" s="80" t="s">
        <v>377</v>
      </c>
      <c r="C12" s="158">
        <f>C13+C14</f>
        <v>10909.2</v>
      </c>
      <c r="D12" s="158"/>
    </row>
    <row r="13" spans="1:4" ht="25.15" customHeight="1">
      <c r="B13" s="164" t="s">
        <v>378</v>
      </c>
      <c r="C13" s="158">
        <v>10909.2</v>
      </c>
      <c r="D13" s="158"/>
    </row>
    <row r="14" spans="1:4" ht="25.15" customHeight="1">
      <c r="B14" s="164" t="s">
        <v>379</v>
      </c>
      <c r="C14" s="158">
        <v>0</v>
      </c>
      <c r="D14" s="158">
        <v>0</v>
      </c>
    </row>
    <row r="15" spans="1:4" ht="25.15" customHeight="1">
      <c r="B15" s="80" t="s">
        <v>380</v>
      </c>
      <c r="C15" s="163">
        <f>C8+C9-C12</f>
        <v>4715852.04</v>
      </c>
      <c r="D15" s="163">
        <f>D8+D9-D12</f>
        <v>4968787.04</v>
      </c>
    </row>
    <row r="16" spans="1:4" ht="19.899999999999999" customHeight="1"/>
    <row r="17" spans="1:4" ht="66" customHeight="1">
      <c r="A17" s="245" t="s">
        <v>381</v>
      </c>
      <c r="B17" s="308" t="s">
        <v>382</v>
      </c>
      <c r="C17" s="308"/>
      <c r="D17" s="308"/>
    </row>
    <row r="18" spans="1:4" ht="15.75">
      <c r="B18" s="2" t="s">
        <v>383</v>
      </c>
    </row>
    <row r="19" spans="1:4">
      <c r="B19" s="16"/>
      <c r="C19" s="250"/>
      <c r="D19" s="14"/>
    </row>
    <row r="20" spans="1:4" ht="25.15" customHeight="1">
      <c r="B20" s="312" t="s">
        <v>384</v>
      </c>
      <c r="C20" s="313"/>
      <c r="D20" s="162" t="s">
        <v>385</v>
      </c>
    </row>
    <row r="21" spans="1:4" ht="25.15" customHeight="1">
      <c r="B21" s="310" t="s">
        <v>386</v>
      </c>
      <c r="C21" s="311"/>
      <c r="D21" s="158">
        <v>40853.72</v>
      </c>
    </row>
    <row r="22" spans="1:4" ht="25.15" customHeight="1">
      <c r="B22" s="310" t="s">
        <v>387</v>
      </c>
      <c r="C22" s="311"/>
      <c r="D22" s="158">
        <f>355951.6+1033.7</f>
        <v>356985.3</v>
      </c>
    </row>
    <row r="23" spans="1:4" ht="25.15" customHeight="1">
      <c r="B23" s="310" t="s">
        <v>388</v>
      </c>
      <c r="C23" s="311"/>
      <c r="D23" s="158">
        <v>346152.52</v>
      </c>
    </row>
    <row r="24" spans="1:4" ht="25.15" customHeight="1">
      <c r="B24" s="314" t="s">
        <v>389</v>
      </c>
      <c r="C24" s="315"/>
      <c r="D24" s="158">
        <f>D21+D22-D23</f>
        <v>51686.5</v>
      </c>
    </row>
    <row r="25" spans="1:4">
      <c r="B25" s="250"/>
      <c r="C25" s="250"/>
      <c r="D25" s="250"/>
    </row>
    <row r="26" spans="1:4" ht="15.75">
      <c r="B26" s="309" t="s">
        <v>390</v>
      </c>
      <c r="C26" s="309"/>
      <c r="D26" s="309"/>
    </row>
    <row r="27" spans="1:4">
      <c r="B27" s="250"/>
      <c r="C27" s="250"/>
      <c r="D27" s="250"/>
    </row>
    <row r="28" spans="1:4" ht="25.15" customHeight="1">
      <c r="B28" s="312" t="s">
        <v>391</v>
      </c>
      <c r="C28" s="313"/>
      <c r="D28" s="162" t="s">
        <v>385</v>
      </c>
    </row>
    <row r="29" spans="1:4" ht="25.15" customHeight="1">
      <c r="B29" s="316" t="s">
        <v>392</v>
      </c>
      <c r="C29" s="317"/>
      <c r="D29" s="166">
        <v>110157.69</v>
      </c>
    </row>
    <row r="30" spans="1:4" ht="25.15" customHeight="1">
      <c r="B30" s="318" t="s">
        <v>393</v>
      </c>
      <c r="C30" s="319"/>
      <c r="D30" s="76">
        <v>220419.11</v>
      </c>
    </row>
    <row r="31" spans="1:4" ht="25.15" customHeight="1">
      <c r="B31" s="318" t="s">
        <v>394</v>
      </c>
      <c r="C31" s="319"/>
      <c r="D31" s="76">
        <v>8969.42</v>
      </c>
    </row>
    <row r="32" spans="1:4" ht="25.15" customHeight="1">
      <c r="B32" s="318" t="s">
        <v>395</v>
      </c>
      <c r="C32" s="319"/>
      <c r="D32" s="76">
        <v>6606.3</v>
      </c>
    </row>
    <row r="33" spans="2:4">
      <c r="B33" s="250"/>
      <c r="C33" s="250"/>
      <c r="D33" s="250"/>
    </row>
    <row r="34" spans="2:4">
      <c r="B34" s="250"/>
      <c r="C34" s="302"/>
      <c r="D34" s="302"/>
    </row>
    <row r="35" spans="2:4">
      <c r="B35" s="250"/>
      <c r="C35" s="250"/>
      <c r="D35" s="250"/>
    </row>
    <row r="36" spans="2:4">
      <c r="B36" s="250"/>
      <c r="C36" s="302"/>
      <c r="D36" s="302"/>
    </row>
    <row r="37" spans="2:4">
      <c r="B37" s="250"/>
      <c r="C37" s="250"/>
      <c r="D37" s="250"/>
    </row>
  </sheetData>
  <mergeCells count="16">
    <mergeCell ref="C34:D34"/>
    <mergeCell ref="C36:D36"/>
    <mergeCell ref="B1:D1"/>
    <mergeCell ref="B3:D3"/>
    <mergeCell ref="B17:D17"/>
    <mergeCell ref="B26:D26"/>
    <mergeCell ref="B21:C21"/>
    <mergeCell ref="B20:C20"/>
    <mergeCell ref="B22:C22"/>
    <mergeCell ref="B23:C23"/>
    <mergeCell ref="B24:C24"/>
    <mergeCell ref="B28:C28"/>
    <mergeCell ref="B29:C29"/>
    <mergeCell ref="B30:C30"/>
    <mergeCell ref="B31:C31"/>
    <mergeCell ref="B32:C32"/>
  </mergeCells>
  <pageMargins left="0.7" right="0.7" top="0.75" bottom="0.75" header="0.3" footer="0.3"/>
  <pageSetup paperSize="9" scale="81"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40"/>
  <sheetViews>
    <sheetView view="pageBreakPreview" topLeftCell="A31" zoomScaleNormal="100" zoomScaleSheetLayoutView="100" workbookViewId="0">
      <selection activeCell="B35" sqref="B35"/>
    </sheetView>
  </sheetViews>
  <sheetFormatPr defaultRowHeight="15"/>
  <cols>
    <col min="1" max="1" width="4.28515625" customWidth="1"/>
    <col min="2" max="2" width="24.28515625" customWidth="1"/>
    <col min="3" max="3" width="18.7109375" customWidth="1"/>
    <col min="4" max="4" width="16.28515625" customWidth="1"/>
    <col min="5" max="5" width="18.7109375" customWidth="1"/>
  </cols>
  <sheetData>
    <row r="1" spans="1:5" ht="15.75">
      <c r="B1" s="291" t="s">
        <v>0</v>
      </c>
      <c r="C1" s="291"/>
      <c r="D1" s="291"/>
      <c r="E1" s="291"/>
    </row>
    <row r="3" spans="1:5" ht="18" customHeight="1">
      <c r="B3" s="255" t="s">
        <v>151</v>
      </c>
      <c r="C3" s="255"/>
      <c r="D3" s="255"/>
      <c r="E3" s="255"/>
    </row>
    <row r="5" spans="1:5" ht="21" customHeight="1">
      <c r="A5" s="245" t="s">
        <v>396</v>
      </c>
      <c r="B5" s="274" t="s">
        <v>397</v>
      </c>
      <c r="C5" s="274"/>
    </row>
    <row r="6" spans="1:5" ht="18.75">
      <c r="B6" s="321"/>
      <c r="C6" s="321"/>
      <c r="D6" s="20"/>
      <c r="E6" s="20"/>
    </row>
    <row r="7" spans="1:5">
      <c r="B7" s="167" t="s">
        <v>398</v>
      </c>
    </row>
    <row r="9" spans="1:5" ht="25.15" customHeight="1">
      <c r="B9" s="162" t="s">
        <v>371</v>
      </c>
      <c r="C9" s="162" t="s">
        <v>372</v>
      </c>
    </row>
    <row r="10" spans="1:5" ht="25.15" customHeight="1">
      <c r="B10" s="158">
        <f>16+12</f>
        <v>28</v>
      </c>
      <c r="C10" s="158">
        <f>12+18</f>
        <v>30</v>
      </c>
    </row>
    <row r="12" spans="1:5" ht="15.75">
      <c r="B12" s="21"/>
      <c r="C12" s="21"/>
    </row>
    <row r="13" spans="1:5" ht="94.15" customHeight="1">
      <c r="B13" s="320" t="s">
        <v>399</v>
      </c>
      <c r="C13" s="320"/>
      <c r="D13" s="320"/>
      <c r="E13" s="320"/>
    </row>
    <row r="14" spans="1:5" ht="16.5" customHeight="1">
      <c r="B14" s="252"/>
      <c r="C14" s="252"/>
      <c r="D14" s="252"/>
      <c r="E14" s="252"/>
    </row>
    <row r="15" spans="1:5" ht="15.75" customHeight="1">
      <c r="B15" s="252"/>
      <c r="C15" s="252"/>
      <c r="D15" s="252"/>
      <c r="E15" s="252"/>
    </row>
    <row r="16" spans="1:5" ht="46.5" customHeight="1">
      <c r="B16" s="320" t="s">
        <v>400</v>
      </c>
      <c r="C16" s="320"/>
      <c r="D16" s="320"/>
      <c r="E16" s="320"/>
    </row>
    <row r="17" spans="2:5" ht="30" customHeight="1">
      <c r="B17" s="328" t="s">
        <v>401</v>
      </c>
      <c r="C17" s="328"/>
      <c r="D17" s="328"/>
      <c r="E17" s="328"/>
    </row>
    <row r="18" spans="2:5" ht="15" customHeight="1">
      <c r="B18" s="252"/>
      <c r="C18" s="252"/>
      <c r="D18" s="252"/>
      <c r="E18" s="252"/>
    </row>
    <row r="19" spans="2:5" ht="11.25" customHeight="1"/>
    <row r="20" spans="2:5" ht="45" customHeight="1">
      <c r="B20" s="320" t="s">
        <v>402</v>
      </c>
      <c r="C20" s="320"/>
      <c r="D20" s="320"/>
      <c r="E20" s="320"/>
    </row>
    <row r="22" spans="2:5" ht="28.9" customHeight="1">
      <c r="B22" s="326" t="s">
        <v>112</v>
      </c>
      <c r="C22" s="312" t="s">
        <v>403</v>
      </c>
      <c r="D22" s="313"/>
      <c r="E22" s="324" t="s">
        <v>404</v>
      </c>
    </row>
    <row r="23" spans="2:5" ht="45">
      <c r="B23" s="327"/>
      <c r="C23" s="83" t="s">
        <v>405</v>
      </c>
      <c r="D23" s="83" t="s">
        <v>406</v>
      </c>
      <c r="E23" s="325"/>
    </row>
    <row r="24" spans="2:5" ht="15" customHeight="1">
      <c r="B24" s="228" t="s">
        <v>407</v>
      </c>
      <c r="C24" s="226">
        <v>190517.48</v>
      </c>
      <c r="D24" s="226">
        <v>380483.6</v>
      </c>
      <c r="E24" s="227">
        <v>44160.19</v>
      </c>
    </row>
    <row r="25" spans="2:5" ht="18" customHeight="1">
      <c r="B25" s="228" t="s">
        <v>408</v>
      </c>
      <c r="C25" s="226">
        <v>0</v>
      </c>
      <c r="D25" s="226">
        <v>571001.07999999996</v>
      </c>
      <c r="E25" s="227">
        <v>661551.48</v>
      </c>
    </row>
    <row r="26" spans="2:5">
      <c r="B26" s="229" t="s">
        <v>409</v>
      </c>
      <c r="C26" s="226">
        <v>263425.62</v>
      </c>
      <c r="D26" s="226">
        <f>C26+D25</f>
        <v>834426.7</v>
      </c>
      <c r="E26" s="227">
        <v>205566.91</v>
      </c>
    </row>
    <row r="27" spans="2:5">
      <c r="B27" s="204"/>
      <c r="C27" s="226"/>
      <c r="D27" s="226"/>
      <c r="E27" s="227"/>
    </row>
    <row r="28" spans="2:5">
      <c r="B28" s="234"/>
      <c r="C28" s="226"/>
      <c r="D28" s="226"/>
      <c r="E28" s="235"/>
    </row>
    <row r="29" spans="2:5">
      <c r="B29" s="230"/>
      <c r="C29" s="231"/>
      <c r="D29" s="231"/>
      <c r="E29" s="232"/>
    </row>
    <row r="30" spans="2:5" ht="34.5" customHeight="1">
      <c r="B30" s="230"/>
      <c r="C30" s="11"/>
      <c r="D30" s="11"/>
      <c r="E30" s="11"/>
    </row>
    <row r="31" spans="2:5">
      <c r="B31" s="236" t="s">
        <v>410</v>
      </c>
      <c r="C31" s="11"/>
      <c r="D31" s="11"/>
      <c r="E31" s="11"/>
    </row>
    <row r="32" spans="2:5">
      <c r="B32" s="233"/>
      <c r="C32" s="11"/>
      <c r="D32" s="11"/>
      <c r="E32" s="11"/>
    </row>
    <row r="33" spans="2:5" ht="1.5" customHeight="1"/>
    <row r="34" spans="2:5" ht="284.25" customHeight="1">
      <c r="B34" s="322" t="s">
        <v>411</v>
      </c>
      <c r="C34" s="323"/>
      <c r="D34" s="323"/>
      <c r="E34" s="323"/>
    </row>
    <row r="35" spans="2:5">
      <c r="B35" s="39" t="s">
        <v>107</v>
      </c>
      <c r="C35" s="40"/>
      <c r="D35" s="32"/>
      <c r="E35" s="32"/>
    </row>
    <row r="36" spans="2:5">
      <c r="B36" s="41" t="s">
        <v>60</v>
      </c>
      <c r="C36" s="42"/>
      <c r="D36" s="32"/>
      <c r="E36" s="32"/>
    </row>
    <row r="37" spans="2:5">
      <c r="B37" s="43"/>
      <c r="C37" s="40"/>
      <c r="D37" s="32"/>
      <c r="E37" s="32"/>
    </row>
    <row r="38" spans="2:5">
      <c r="B38" s="40" t="s">
        <v>61</v>
      </c>
      <c r="C38" s="40"/>
      <c r="D38" s="266" t="s">
        <v>62</v>
      </c>
      <c r="E38" s="266"/>
    </row>
    <row r="39" spans="2:5">
      <c r="B39" s="41" t="s">
        <v>63</v>
      </c>
      <c r="C39" s="42"/>
      <c r="D39" s="45" t="s">
        <v>64</v>
      </c>
      <c r="E39" s="45"/>
    </row>
    <row r="40" spans="2:5">
      <c r="B40" s="41"/>
      <c r="C40" s="41"/>
      <c r="D40" s="32"/>
      <c r="E40" s="32"/>
    </row>
  </sheetData>
  <mergeCells count="13">
    <mergeCell ref="B1:E1"/>
    <mergeCell ref="B3:E3"/>
    <mergeCell ref="C22:D22"/>
    <mergeCell ref="E22:E23"/>
    <mergeCell ref="B22:B23"/>
    <mergeCell ref="B16:E16"/>
    <mergeCell ref="B17:E17"/>
    <mergeCell ref="D38:E38"/>
    <mergeCell ref="B13:E13"/>
    <mergeCell ref="B20:E20"/>
    <mergeCell ref="B5:C5"/>
    <mergeCell ref="B6:C6"/>
    <mergeCell ref="B34:E34"/>
  </mergeCells>
  <pageMargins left="0.7" right="0.7" top="0.75" bottom="0.75" header="0.3" footer="0.3"/>
  <pageSetup paperSize="9" scale="95" orientation="portrait" r:id="rId1"/>
  <rowBreaks count="1" manualBreakCount="1">
    <brk id="30" max="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tabSelected="1"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C3EF30A125C3543814C7B799608F973" ma:contentTypeVersion="0" ma:contentTypeDescription="Create a new document." ma:contentTypeScope="" ma:versionID="4bfdd7ff66d3f8ee1d821a120f203e48">
  <xsd:schema xmlns:xsd="http://www.w3.org/2001/XMLSchema" xmlns:xs="http://www.w3.org/2001/XMLSchema" xmlns:p="http://schemas.microsoft.com/office/2006/metadata/properties" targetNamespace="http://schemas.microsoft.com/office/2006/metadata/properties" ma:root="true" ma:fieldsID="0967b7be50301903c78f9c39c6fd9a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77807E-13DC-481D-B0AA-612454E56296}"/>
</file>

<file path=customXml/itemProps2.xml><?xml version="1.0" encoding="utf-8"?>
<ds:datastoreItem xmlns:ds="http://schemas.openxmlformats.org/officeDocument/2006/customXml" ds:itemID="{96252EFB-3A3E-4CE3-B4D3-DE14AD7D6542}"/>
</file>

<file path=customXml/itemProps3.xml><?xml version="1.0" encoding="utf-8"?>
<ds:datastoreItem xmlns:ds="http://schemas.openxmlformats.org/officeDocument/2006/customXml" ds:itemID="{0A024E97-B4B9-46A2-8FC3-A6595EB9648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Biuro Chorągwi Łódzkiej ZHP</cp:lastModifiedBy>
  <cp:revision/>
  <dcterms:created xsi:type="dcterms:W3CDTF">2006-09-16T00:00:00Z</dcterms:created>
  <dcterms:modified xsi:type="dcterms:W3CDTF">2022-02-09T16:40:38Z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0x0101002C3EF30A125C3543814C7B799608F973</vt:lpwstr>
  </property>
</Properties>
</file>